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60.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xl/revisions/revisionLog15.xml" ContentType="application/vnd.openxmlformats-officedocument.spreadsheetml.revisionLog+xml"/>
  <Override PartName="/xl/revisions/revisionLog7.xml" ContentType="application/vnd.openxmlformats-officedocument.spreadsheetml.revisionLog+xml"/>
  <Override PartName="/xl/revisions/revisionLog10.xml" ContentType="application/vnd.openxmlformats-officedocument.spreadsheetml.revisionLog+xml"/>
  <Override PartName="/xl/revisions/revisionLog2.xml" ContentType="application/vnd.openxmlformats-officedocument.spreadsheetml.revisionLog+xml"/>
  <Override PartName="/xl/revisions/revisionLog97.xml" ContentType="application/vnd.openxmlformats-officedocument.spreadsheetml.revisionLog+xml"/>
  <Override PartName="/xl/revisions/revisionLog31.xml" ContentType="application/vnd.openxmlformats-officedocument.spreadsheetml.revisionLog+xml"/>
  <Override PartName="/xl/revisions/revisionLog18.xml" ContentType="application/vnd.openxmlformats-officedocument.spreadsheetml.revisionLog+xml"/>
  <Override PartName="/xl/revisions/revisionLog23.xml" ContentType="application/vnd.openxmlformats-officedocument.spreadsheetml.revisionLog+xml"/>
  <Override PartName="/xl/revisions/revisionLog36.xml" ContentType="application/vnd.openxmlformats-officedocument.spreadsheetml.revisionLog+xml"/>
  <Override PartName="/xl/revisions/revisionLog39.xml" ContentType="application/vnd.openxmlformats-officedocument.spreadsheetml.revisionLog+xml"/>
  <Override PartName="/xl/revisions/revisionLog44.xml" ContentType="application/vnd.openxmlformats-officedocument.spreadsheetml.revisionLog+xml"/>
  <Override PartName="/xl/revisions/revisionLog52.xml" ContentType="application/vnd.openxmlformats-officedocument.spreadsheetml.revisionLog+xml"/>
  <Override PartName="/xl/revisions/revisionLog57.xml" ContentType="application/vnd.openxmlformats-officedocument.spreadsheetml.revisionLog+xml"/>
  <Override PartName="/xl/revisions/revisionLog92.xml" ContentType="application/vnd.openxmlformats-officedocument.spreadsheetml.revisionLog+xml"/>
  <Override PartName="/xl/revisions/revisionLog5.xml" ContentType="application/vnd.openxmlformats-officedocument.spreadsheetml.revisionLog+xml"/>
  <Override PartName="/xl/revisions/revisionLog102.xml" ContentType="application/vnd.openxmlformats-officedocument.spreadsheetml.revisionLog+xml"/>
  <Override PartName="/xl/revisions/revisionLog13.xml" ContentType="application/vnd.openxmlformats-officedocument.spreadsheetml.revisionLog+xml"/>
  <Override PartName="/xl/revisions/revisionLog8.xml" ContentType="application/vnd.openxmlformats-officedocument.spreadsheetml.revisionLog+xml"/>
  <Override PartName="/xl/revisions/revisionLog29.xml" ContentType="application/vnd.openxmlformats-officedocument.spreadsheetml.revisionLog+xml"/>
  <Override PartName="/xl/revisions/revisionLog21.xml" ContentType="application/vnd.openxmlformats-officedocument.spreadsheetml.revisionLog+xml"/>
  <Override PartName="/xl/revisions/revisionLog26.xml" ContentType="application/vnd.openxmlformats-officedocument.spreadsheetml.revisionLog+xml"/>
  <Override PartName="/xl/revisions/revisionLog34.xml" ContentType="application/vnd.openxmlformats-officedocument.spreadsheetml.revisionLog+xml"/>
  <Override PartName="/xl/revisions/revisionLog42.xml" ContentType="application/vnd.openxmlformats-officedocument.spreadsheetml.revisionLog+xml"/>
  <Override PartName="/xl/revisions/revisionLog47.xml" ContentType="application/vnd.openxmlformats-officedocument.spreadsheetml.revisionLog+xml"/>
  <Override PartName="/xl/revisions/revisionLog55.xml" ContentType="application/vnd.openxmlformats-officedocument.spreadsheetml.revisionLog+xml"/>
  <Override PartName="/xl/revisions/revisionLog95.xml" ContentType="application/vnd.openxmlformats-officedocument.spreadsheetml.revisionLog+xml"/>
  <Override PartName="/xl/revisions/revisionLog12.xml" ContentType="application/vnd.openxmlformats-officedocument.spreadsheetml.revisionLog+xml"/>
  <Override PartName="/xl/revisions/revisionLog4.xml" ContentType="application/vnd.openxmlformats-officedocument.spreadsheetml.revisionLog+xml"/>
  <Override PartName="/xl/revisions/revisionLog90.xml" ContentType="application/vnd.openxmlformats-officedocument.spreadsheetml.revisionLog+xml"/>
  <Override PartName="/xl/revisions/revisionLog17.xml" ContentType="application/vnd.openxmlformats-officedocument.spreadsheetml.revisionLog+xml"/>
  <Override PartName="/xl/revisions/revisionLog25.xml" ContentType="application/vnd.openxmlformats-officedocument.spreadsheetml.revisionLog+xml"/>
  <Override PartName="/xl/revisions/revisionLog50.xml" ContentType="application/vnd.openxmlformats-officedocument.spreadsheetml.revisionLog+xml"/>
  <Override PartName="/xl/revisions/revisionLog58.xml" ContentType="application/vnd.openxmlformats-officedocument.spreadsheetml.revisionLog+xml"/>
  <Override PartName="/xl/revisions/revisionLog101.xml" ContentType="application/vnd.openxmlformats-officedocument.spreadsheetml.revisionLog+xml"/>
  <Override PartName="/xl/revisions/revisionLog99.xml" ContentType="application/vnd.openxmlformats-officedocument.spreadsheetml.revisionLog+xml"/>
  <Override PartName="/xl/revisions/revisionLog94.xml" ContentType="application/vnd.openxmlformats-officedocument.spreadsheetml.revisionLog+xml"/>
  <Override PartName="/xl/revisions/revisionLog20.xml" ContentType="application/vnd.openxmlformats-officedocument.spreadsheetml.revisionLog+xml"/>
  <Override PartName="/xl/revisions/revisionLog28.xml" ContentType="application/vnd.openxmlformats-officedocument.spreadsheetml.revisionLog+xml"/>
  <Override PartName="/xl/revisions/revisionLog33.xml" ContentType="application/vnd.openxmlformats-officedocument.spreadsheetml.revisionLog+xml"/>
  <Override PartName="/xl/revisions/revisionLog41.xml" ContentType="application/vnd.openxmlformats-officedocument.spreadsheetml.revisionLog+xml"/>
  <Override PartName="/xl/revisions/revisionLog46.xml" ContentType="application/vnd.openxmlformats-officedocument.spreadsheetml.revisionLog+xml"/>
  <Override PartName="/xl/revisions/revisionLog49.xml" ContentType="application/vnd.openxmlformats-officedocument.spreadsheetml.revisionLog+xml"/>
  <Override PartName="/xl/revisions/revisionLog54.xml" ContentType="application/vnd.openxmlformats-officedocument.spreadsheetml.revisionLog+xml"/>
  <Override PartName="/xl/revisions/revisionLog100.xml" ContentType="application/vnd.openxmlformats-officedocument.spreadsheetml.revisionLog+xml"/>
  <Override PartName="/xl/revisions/revisionLog11.xml" ContentType="application/vnd.openxmlformats-officedocument.spreadsheetml.revisionLog+xml"/>
  <Override PartName="/xl/revisions/revisionLog16.xml" ContentType="application/vnd.openxmlformats-officedocument.spreadsheetml.revisionLog+xml"/>
  <Override PartName="/xl/revisions/revisionLog3.xml" ContentType="application/vnd.openxmlformats-officedocument.spreadsheetml.revisionLog+xml"/>
  <Override PartName="/xl/revisions/revisionLog24.xml" ContentType="application/vnd.openxmlformats-officedocument.spreadsheetml.revisionLog+xml"/>
  <Override PartName="/xl/revisions/revisionLog32.xml" ContentType="application/vnd.openxmlformats-officedocument.spreadsheetml.revisionLog+xml"/>
  <Override PartName="/xl/revisions/revisionLog37.xml" ContentType="application/vnd.openxmlformats-officedocument.spreadsheetml.revisionLog+xml"/>
  <Override PartName="/xl/revisions/revisionLog45.xml" ContentType="application/vnd.openxmlformats-officedocument.spreadsheetml.revisionLog+xml"/>
  <Override PartName="/xl/revisions/revisionLog98.xml" ContentType="application/vnd.openxmlformats-officedocument.spreadsheetml.revisionLog+xml"/>
  <Override PartName="/xl/revisions/revisionLog93.xml" ContentType="application/vnd.openxmlformats-officedocument.spreadsheetml.revisionLog+xml"/>
  <Override PartName="/xl/revisions/revisionLog19.xml" ContentType="application/vnd.openxmlformats-officedocument.spreadsheetml.revisionLog+xml"/>
  <Override PartName="/xl/revisions/revisionLog40.xml" ContentType="application/vnd.openxmlformats-officedocument.spreadsheetml.revisionLog+xml"/>
  <Override PartName="/xl/revisions/revisionLog48.xml" ContentType="application/vnd.openxmlformats-officedocument.spreadsheetml.revisionLog+xml"/>
  <Override PartName="/xl/revisions/revisionLog53.xml" ContentType="application/vnd.openxmlformats-officedocument.spreadsheetml.revisionLog+xml"/>
  <Override PartName="/xl/revisions/revisionLog14.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22.xml" ContentType="application/vnd.openxmlformats-officedocument.spreadsheetml.revisionLog+xml"/>
  <Override PartName="/xl/revisions/revisionLog27.xml" ContentType="application/vnd.openxmlformats-officedocument.spreadsheetml.revisionLog+xml"/>
  <Override PartName="/xl/revisions/revisionLog35.xml" ContentType="application/vnd.openxmlformats-officedocument.spreadsheetml.revisionLog+xml"/>
  <Override PartName="/xl/revisions/revisionLog56.xml" ContentType="application/vnd.openxmlformats-officedocument.spreadsheetml.revisionLog+xml"/>
  <Override PartName="/xl/revisions/revisionLog9.xml" ContentType="application/vnd.openxmlformats-officedocument.spreadsheetml.revisionLog+xml"/>
  <Override PartName="/xl/revisions/revisionLog96.xml" ContentType="application/vnd.openxmlformats-officedocument.spreadsheetml.revisionLog+xml"/>
  <Override PartName="/xl/revisions/revisionLog91.xml" ContentType="application/vnd.openxmlformats-officedocument.spreadsheetml.revisionLog+xml"/>
  <Override PartName="/xl/revisions/revisionLog30.xml" ContentType="application/vnd.openxmlformats-officedocument.spreadsheetml.revisionLog+xml"/>
  <Override PartName="/xl/revisions/revisionLog38.xml" ContentType="application/vnd.openxmlformats-officedocument.spreadsheetml.revisionLog+xml"/>
  <Override PartName="/xl/revisions/revisionLog43.xml" ContentType="application/vnd.openxmlformats-officedocument.spreadsheetml.revisionLog+xml"/>
  <Override PartName="/xl/revisions/revisionLog51.xml" ContentType="application/vnd.openxmlformats-officedocument.spreadsheetml.revisionLog+xml"/>
  <Override PartName="/xl/revisions/revisionLog59.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УК\- ОТДЕЛ КУЛЬТУРЫ -\СЕТЕВЫЕ ГРАФИКИ И ТЕХЗАДАНИЯ\2025\Культурное пространство\7. в УЭ и на сайт\"/>
    </mc:Choice>
  </mc:AlternateContent>
  <bookViews>
    <workbookView xWindow="0" yWindow="0" windowWidth="28800" windowHeight="12000" firstSheet="3" activeTab="3"/>
  </bookViews>
  <sheets>
    <sheet name="1. РО" sheetId="1" state="hidden" r:id="rId1"/>
    <sheet name="2. СОГХ" sheetId="2" state="hidden" r:id="rId2"/>
    <sheet name="3. ФКГС" sheetId="3" state="hidden" r:id="rId3"/>
    <sheet name="4. КП" sheetId="4" r:id="rId4"/>
    <sheet name="5.РФКиС" sheetId="5" state="hidden" r:id="rId5"/>
    <sheet name="6. СЗН" sheetId="6" state="hidden" r:id="rId6"/>
    <sheet name="7. АПК" sheetId="7" state="hidden" r:id="rId7"/>
    <sheet name="8. РЖС" sheetId="8" state="hidden" r:id="rId8"/>
    <sheet name="9. РЖКК" sheetId="9" state="hidden" r:id="rId9"/>
    <sheet name="10.ПП" sheetId="10" state="hidden" r:id="rId10"/>
    <sheet name="11. БЖД" sheetId="11" state="hidden" r:id="rId11"/>
    <sheet name="12. ЭБ" sheetId="12" state="hidden" r:id="rId12"/>
    <sheet name="13. Экон. разв." sheetId="13" state="hidden" r:id="rId13"/>
    <sheet name="14. РТС" sheetId="14" state="hidden" r:id="rId14"/>
    <sheet name="15. УМФ" sheetId="15" state="hidden" r:id="rId15"/>
    <sheet name="16. РГО" sheetId="16" state="hidden" r:id="rId16"/>
    <sheet name="17.УМИ" sheetId="17" state="hidden" r:id="rId17"/>
    <sheet name="18. Экстремизм" sheetId="18" state="hidden" r:id="rId18"/>
    <sheet name="19.РМС" sheetId="19" state="hidden" r:id="rId19"/>
    <sheet name="20. МСП" sheetId="20" state="hidden" r:id="rId20"/>
  </sheets>
  <definedNames>
    <definedName name="Z_133BB3F8_8DD4_4AEF_8CD6_A5FB14681329_.wvu.Rows" localSheetId="0" hidden="1">'1. РО'!$28:$28,'1. РО'!$32:$32,'1. РО'!$52:$52,'1. РО'!$59:$59,'1. РО'!$71:$71,'1. РО'!$75:$75</definedName>
    <definedName name="Z_133BB3F8_8DD4_4AEF_8CD6_A5FB14681329_.wvu.Rows" localSheetId="13" hidden="1">'14. РТС'!$14:$15,'14. РТС'!$19:$19,'14. РТС'!$30:$30,'14. РТС'!$33:$33,'14. РТС'!$36:$36,'14. РТС'!$43:$43</definedName>
    <definedName name="Z_133BB3F8_8DD4_4AEF_8CD6_A5FB14681329_.wvu.Rows" localSheetId="19" hidden="1">'20. МСП'!$19:$19</definedName>
    <definedName name="Z_133BB3F8_8DD4_4AEF_8CD6_A5FB14681329_.wvu.Rows" localSheetId="3" hidden="1">'4. КП'!$23:$23,'4. КП'!$27:$27,'4. КП'!$68:$68,'4. КП'!$75:$75,'4. КП'!$83:$83,'4. КП'!$87:$88,'4. КП'!$91:$91,'4. КП'!$93:$93</definedName>
    <definedName name="Z_133BB3F8_8DD4_4AEF_8CD6_A5FB14681329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133BB3F8_8DD4_4AEF_8CD6_A5FB14681329_.wvu.Rows" localSheetId="5" hidden="1">'6. СЗН'!$9:$9,'6. СЗН'!$14:$14,'6. СЗН'!$18:$18,'6. СЗН'!$22:$22,'6. СЗН'!$26:$26,'6. СЗН'!$30:$31,'6. СЗН'!$34:$34,'6. СЗН'!$36:$36,'6. СЗН'!$39:$39,'6. СЗН'!$43:$43,'6. СЗН'!$47:$48</definedName>
    <definedName name="Z_133BB3F8_8DD4_4AEF_8CD6_A5FB14681329_.wvu.Rows" localSheetId="8" hidden="1">'9. РЖКК'!$14:$14,'9. РЖКК'!$28:$28</definedName>
    <definedName name="Z_20A05A62_CBE8_4538_BBC3_2AD9D3B8FAC0_.wvu.Rows" localSheetId="0" hidden="1">'1. РО'!$28:$28,'1. РО'!$32:$32,'1. РО'!$52:$52,'1. РО'!$59:$59,'1. РО'!$71:$71,'1. РО'!$75:$75</definedName>
    <definedName name="Z_20A05A62_CBE8_4538_BBC3_2AD9D3B8FAC0_.wvu.Rows" localSheetId="13" hidden="1">'14. РТС'!$14:$15,'14. РТС'!$19:$19,'14. РТС'!$30:$30,'14. РТС'!$33:$33,'14. РТС'!$36:$36,'14. РТС'!$43:$43</definedName>
    <definedName name="Z_20A05A62_CBE8_4538_BBC3_2AD9D3B8FAC0_.wvu.Rows" localSheetId="19" hidden="1">'20. МСП'!$19:$19</definedName>
    <definedName name="Z_20A05A62_CBE8_4538_BBC3_2AD9D3B8FAC0_.wvu.Rows" localSheetId="3" hidden="1">'4. КП'!$23:$23,'4. КП'!$27:$27,'4. КП'!$68:$68,'4. КП'!$75:$75,'4. КП'!$83:$83,'4. КП'!$87:$88,'4. КП'!$91:$91,'4. КП'!$93:$93</definedName>
    <definedName name="Z_20A05A62_CBE8_4538_BBC3_2AD9D3B8FAC0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20A05A62_CBE8_4538_BBC3_2AD9D3B8FAC0_.wvu.Rows" localSheetId="5" hidden="1">'6. СЗН'!$9:$9,'6. СЗН'!$14:$14,'6. СЗН'!$18:$18,'6. СЗН'!$22:$22,'6. СЗН'!$26:$26,'6. СЗН'!$30:$31,'6. СЗН'!$34:$34,'6. СЗН'!$36:$36,'6. СЗН'!$39:$39,'6. СЗН'!$43:$43,'6. СЗН'!$45:$45,'6. СЗН'!$47:$48</definedName>
    <definedName name="Z_20A05A62_CBE8_4538_BBC3_2AD9D3B8FAC0_.wvu.Rows" localSheetId="8" hidden="1">'9. РЖКК'!$14:$14,'9. РЖКК'!$28:$28</definedName>
    <definedName name="Z_21E1D423_7B38_4272_8354_09B4DB62C9EB_.wvu.Rows" localSheetId="0" hidden="1">'1. РО'!$28:$28,'1. РО'!$32:$32,'1. РО'!$52:$52,'1. РО'!$59:$59,'1. РО'!$71:$71,'1. РО'!$75:$75</definedName>
    <definedName name="Z_21E1D423_7B38_4272_8354_09B4DB62C9EB_.wvu.Rows" localSheetId="13" hidden="1">'14. РТС'!$14:$15,'14. РТС'!$19:$19,'14. РТС'!$30:$30,'14. РТС'!$33:$33,'14. РТС'!$36:$36,'14. РТС'!$43:$43</definedName>
    <definedName name="Z_21E1D423_7B38_4272_8354_09B4DB62C9EB_.wvu.Rows" localSheetId="19" hidden="1">'20. МСП'!$19:$19</definedName>
    <definedName name="Z_21E1D423_7B38_4272_8354_09B4DB62C9EB_.wvu.Rows" localSheetId="3" hidden="1">'4. КП'!$23:$23,'4. КП'!$27:$27,'4. КП'!$68:$68,'4. КП'!$75:$75,'4. КП'!$83:$83,'4. КП'!$87:$88,'4. КП'!$91:$91,'4. КП'!$93:$93</definedName>
    <definedName name="Z_21E1D423_7B38_4272_8354_09B4DB62C9EB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21E1D423_7B38_4272_8354_09B4DB62C9EB_.wvu.Rows" localSheetId="5" hidden="1">'6. СЗН'!$9:$9,'6. СЗН'!$14:$14,'6. СЗН'!$18:$18,'6. СЗН'!$22:$22,'6. СЗН'!$26:$26,'6. СЗН'!$30:$31,'6. СЗН'!$34:$34,'6. СЗН'!$36:$36,'6. СЗН'!$39:$39,'6. СЗН'!$43:$43,'6. СЗН'!$45:$45,'6. СЗН'!$47:$48</definedName>
    <definedName name="Z_21E1D423_7B38_4272_8354_09B4DB62C9EB_.wvu.Rows" localSheetId="8" hidden="1">'9. РЖКК'!$14:$14,'9. РЖКК'!$28:$28</definedName>
    <definedName name="Z_2940A182_D1A7_43C5_8D6E_965BED4371B0_.wvu.Rows" localSheetId="0" hidden="1">'1. РО'!$28:$28,'1. РО'!$32:$32,'1. РО'!$52:$52,'1. РО'!$59:$59,'1. РО'!$71:$71,'1. РО'!$75:$75</definedName>
    <definedName name="Z_2940A182_D1A7_43C5_8D6E_965BED4371B0_.wvu.Rows" localSheetId="13" hidden="1">'14. РТС'!$14:$15,'14. РТС'!$19:$19,'14. РТС'!$30:$30,'14. РТС'!$33:$33,'14. РТС'!$36:$36,'14. РТС'!$43:$43</definedName>
    <definedName name="Z_2940A182_D1A7_43C5_8D6E_965BED4371B0_.wvu.Rows" localSheetId="19" hidden="1">'20. МСП'!$19:$19</definedName>
    <definedName name="Z_2940A182_D1A7_43C5_8D6E_965BED4371B0_.wvu.Rows" localSheetId="3" hidden="1">'4. КП'!$23:$23,'4. КП'!$27:$27,'4. КП'!$68:$68,'4. КП'!$75:$75,'4. КП'!$83:$83,'4. КП'!$87:$88,'4. КП'!$91:$91,'4. КП'!$93:$93</definedName>
    <definedName name="Z_2940A182_D1A7_43C5_8D6E_965BED4371B0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2940A182_D1A7_43C5_8D6E_965BED4371B0_.wvu.Rows" localSheetId="5" hidden="1">'6. СЗН'!$9:$9,'6. СЗН'!$14:$14,'6. СЗН'!$18:$18,'6. СЗН'!$22:$22,'6. СЗН'!$26:$26,'6. СЗН'!$30:$31,'6. СЗН'!$34:$34,'6. СЗН'!$36:$36,'6. СЗН'!$39:$39,'6. СЗН'!$43:$43,'6. СЗН'!$45:$45,'6. СЗН'!$47:$48</definedName>
    <definedName name="Z_2940A182_D1A7_43C5_8D6E_965BED4371B0_.wvu.Rows" localSheetId="8" hidden="1">'9. РЖКК'!$14:$14,'9. РЖКК'!$28:$28</definedName>
    <definedName name="Z_2A5A11D4_90C6_4A3E_8165_7D7BD634B22F_.wvu.Rows" localSheetId="0" hidden="1">'1. РО'!$28:$28,'1. РО'!$32:$32,'1. РО'!$52:$52,'1. РО'!$59:$59,'1. РО'!$71:$71,'1. РО'!$75:$75</definedName>
    <definedName name="Z_2A5A11D4_90C6_4A3E_8165_7D7BD634B22F_.wvu.Rows" localSheetId="13" hidden="1">'14. РТС'!$14:$15,'14. РТС'!$19:$19,'14. РТС'!$30:$30,'14. РТС'!$33:$33,'14. РТС'!$36:$36,'14. РТС'!$43:$43</definedName>
    <definedName name="Z_2A5A11D4_90C6_4A3E_8165_7D7BD634B22F_.wvu.Rows" localSheetId="19" hidden="1">'20. МСП'!$19:$19</definedName>
    <definedName name="Z_2A5A11D4_90C6_4A3E_8165_7D7BD634B22F_.wvu.Rows" localSheetId="3" hidden="1">'4. КП'!$23:$23,'4. КП'!$27:$27,'4. КП'!$68:$68,'4. КП'!$75:$75,'4. КП'!$83:$83,'4. КП'!$87:$88,'4. КП'!$91:$91,'4. КП'!$93:$93</definedName>
    <definedName name="Z_2A5A11D4_90C6_4A3E_8165_7D7BD634B22F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2A5A11D4_90C6_4A3E_8165_7D7BD634B22F_.wvu.Rows" localSheetId="5" hidden="1">'6. СЗН'!$9:$9,'6. СЗН'!$14:$14,'6. СЗН'!$18:$18,'6. СЗН'!$22:$22,'6. СЗН'!$26:$26,'6. СЗН'!$30:$31,'6. СЗН'!$34:$34,'6. СЗН'!$36:$36,'6. СЗН'!$39:$39,'6. СЗН'!$43:$43,'6. СЗН'!$45:$45,'6. СЗН'!$47:$48</definedName>
    <definedName name="Z_2A5A11D4_90C6_4A3E_8165_7D7BD634B22F_.wvu.Rows" localSheetId="8" hidden="1">'9. РЖКК'!$14:$14,'9. РЖКК'!$28:$28</definedName>
    <definedName name="Z_30B635D9_57DB_47D5_8A0F_4B30DD769960_.wvu.Rows" localSheetId="0" hidden="1">'1. РО'!$28:$28,'1. РО'!$32:$32,'1. РО'!$52:$52,'1. РО'!$59:$59,'1. РО'!$71:$71,'1. РО'!$75:$75</definedName>
    <definedName name="Z_30B635D9_57DB_47D5_8A0F_4B30DD769960_.wvu.Rows" localSheetId="13" hidden="1">'14. РТС'!$14:$15,'14. РТС'!$19:$19,'14. РТС'!$30:$30,'14. РТС'!$33:$33,'14. РТС'!$36:$36,'14. РТС'!$43:$43</definedName>
    <definedName name="Z_30B635D9_57DB_47D5_8A0F_4B30DD769960_.wvu.Rows" localSheetId="19" hidden="1">'20. МСП'!$19:$19</definedName>
    <definedName name="Z_30B635D9_57DB_47D5_8A0F_4B30DD769960_.wvu.Rows" localSheetId="3" hidden="1">'4. КП'!$23:$23,'4. КП'!$27:$27,'4. КП'!$68:$68,'4. КП'!$75:$75,'4. КП'!$83:$83,'4. КП'!$87:$88,'4. КП'!$91:$91,'4. КП'!$93:$93</definedName>
    <definedName name="Z_30B635D9_57DB_47D5_8A0F_4B30DD769960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30B635D9_57DB_47D5_8A0F_4B30DD769960_.wvu.Rows" localSheetId="5" hidden="1">'6. СЗН'!$9:$9,'6. СЗН'!$14:$14,'6. СЗН'!$18:$18,'6. СЗН'!$22:$22,'6. СЗН'!$26:$26,'6. СЗН'!$30:$31,'6. СЗН'!$34:$34,'6. СЗН'!$36:$36,'6. СЗН'!$39:$39,'6. СЗН'!$43:$43,'6. СЗН'!$45:$45,'6. СЗН'!$47:$48</definedName>
    <definedName name="Z_30B635D9_57DB_47D5_8A0F_4B30DD769960_.wvu.Rows" localSheetId="8" hidden="1">'9. РЖКК'!$14:$14,'9. РЖКК'!$28:$28</definedName>
    <definedName name="Z_519948E4_0B24_465F_9D9E_44BE50D1D647_.wvu.Rows" localSheetId="0" hidden="1">'1. РО'!$28:$28,'1. РО'!$32:$32,'1. РО'!$52:$52,'1. РО'!$59:$59,'1. РО'!$71:$71,'1. РО'!$75:$75</definedName>
    <definedName name="Z_519948E4_0B24_465F_9D9E_44BE50D1D647_.wvu.Rows" localSheetId="13" hidden="1">'14. РТС'!$14:$15,'14. РТС'!$19:$19,'14. РТС'!$30:$30,'14. РТС'!$33:$33,'14. РТС'!$36:$36,'14. РТС'!$43:$43</definedName>
    <definedName name="Z_519948E4_0B24_465F_9D9E_44BE50D1D647_.wvu.Rows" localSheetId="19" hidden="1">'20. МСП'!$19:$19</definedName>
    <definedName name="Z_519948E4_0B24_465F_9D9E_44BE50D1D647_.wvu.Rows" localSheetId="3" hidden="1">'4. КП'!$23:$23,'4. КП'!$27:$27,'4. КП'!$68:$68,'4. КП'!$75:$75,'4. КП'!$83:$83,'4. КП'!$87:$88,'4. КП'!$91:$91,'4. КП'!$93:$93</definedName>
    <definedName name="Z_519948E4_0B24_465F_9D9E_44BE50D1D647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519948E4_0B24_465F_9D9E_44BE50D1D647_.wvu.Rows" localSheetId="5" hidden="1">'6. СЗН'!$9:$9,'6. СЗН'!$14:$14,'6. СЗН'!$18:$18,'6. СЗН'!$22:$22,'6. СЗН'!$26:$26,'6. СЗН'!$30:$31,'6. СЗН'!$34:$34,'6. СЗН'!$36:$36,'6. СЗН'!$39:$39,'6. СЗН'!$43:$43,'6. СЗН'!$45:$45,'6. СЗН'!$47:$48</definedName>
    <definedName name="Z_519948E4_0B24_465F_9D9E_44BE50D1D647_.wvu.Rows" localSheetId="8" hidden="1">'9. РЖКК'!$14:$14,'9. РЖКК'!$28:$28</definedName>
    <definedName name="Z_562453CE_35F5_40A3_AD14_6399D1197C99_.wvu.Rows" localSheetId="0" hidden="1">'1. РО'!$28:$28,'1. РО'!$32:$32,'1. РО'!$52:$52,'1. РО'!$59:$59,'1. РО'!$71:$71,'1. РО'!$75:$75</definedName>
    <definedName name="Z_562453CE_35F5_40A3_AD14_6399D1197C99_.wvu.Rows" localSheetId="13" hidden="1">'14. РТС'!$14:$15,'14. РТС'!$19:$19,'14. РТС'!$30:$30,'14. РТС'!$33:$33,'14. РТС'!$36:$36,'14. РТС'!$43:$43</definedName>
    <definedName name="Z_562453CE_35F5_40A3_AD14_6399D1197C99_.wvu.Rows" localSheetId="19" hidden="1">'20. МСП'!$19:$19</definedName>
    <definedName name="Z_562453CE_35F5_40A3_AD14_6399D1197C99_.wvu.Rows" localSheetId="3" hidden="1">'4. КП'!$23:$23,'4. КП'!$27:$27,'4. КП'!$68:$68,'4. КП'!$75:$75,'4. КП'!$83:$83,'4. КП'!$87:$88,'4. КП'!$91:$91,'4. КП'!$93:$93</definedName>
    <definedName name="Z_562453CE_35F5_40A3_AD14_6399D1197C99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562453CE_35F5_40A3_AD14_6399D1197C99_.wvu.Rows" localSheetId="5" hidden="1">'6. СЗН'!$9:$9,'6. СЗН'!$14:$14,'6. СЗН'!$18:$18,'6. СЗН'!$22:$22,'6. СЗН'!$26:$26,'6. СЗН'!$30:$31,'6. СЗН'!$34:$34,'6. СЗН'!$36:$36,'6. СЗН'!$39:$39,'6. СЗН'!$43:$43,'6. СЗН'!$45:$45,'6. СЗН'!$47:$48</definedName>
    <definedName name="Z_562453CE_35F5_40A3_AD14_6399D1197C99_.wvu.Rows" localSheetId="8" hidden="1">'9. РЖКК'!$14:$14,'9. РЖКК'!$28:$28</definedName>
    <definedName name="Z_5DF2C78B_5EE4_439D_8D72_8D3A913B65F9_.wvu.Rows" localSheetId="0" hidden="1">'1. РО'!$28:$28,'1. РО'!$32:$32,'1. РО'!$52:$52,'1. РО'!$59:$59,'1. РО'!$71:$71,'1. РО'!$75:$75</definedName>
    <definedName name="Z_5DF2C78B_5EE4_439D_8D72_8D3A913B65F9_.wvu.Rows" localSheetId="13" hidden="1">'14. РТС'!$14:$15,'14. РТС'!$19:$19,'14. РТС'!$30:$30,'14. РТС'!$33:$33,'14. РТС'!$36:$36,'14. РТС'!$43:$43</definedName>
    <definedName name="Z_5DF2C78B_5EE4_439D_8D72_8D3A913B65F9_.wvu.Rows" localSheetId="19" hidden="1">'20. МСП'!$19:$19</definedName>
    <definedName name="Z_5DF2C78B_5EE4_439D_8D72_8D3A913B65F9_.wvu.Rows" localSheetId="3" hidden="1">'4. КП'!$23:$23,'4. КП'!$27:$27,'4. КП'!$68:$68,'4. КП'!$75:$75,'4. КП'!$83:$83,'4. КП'!$87:$88,'4. КП'!$91:$91,'4. КП'!$93:$93</definedName>
    <definedName name="Z_5DF2C78B_5EE4_439D_8D72_8D3A913B65F9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5DF2C78B_5EE4_439D_8D72_8D3A913B65F9_.wvu.Rows" localSheetId="5" hidden="1">'6. СЗН'!$9:$9,'6. СЗН'!$14:$14,'6. СЗН'!$18:$18,'6. СЗН'!$22:$22,'6. СЗН'!$26:$26,'6. СЗН'!$30:$31,'6. СЗН'!$34:$34,'6. СЗН'!$36:$36,'6. СЗН'!$39:$39,'6. СЗН'!$43:$43,'6. СЗН'!$45:$45,'6. СЗН'!$47:$48</definedName>
    <definedName name="Z_5DF2C78B_5EE4_439D_8D72_8D3A913B65F9_.wvu.Rows" localSheetId="8" hidden="1">'9. РЖКК'!$14:$14,'9. РЖКК'!$28:$28</definedName>
    <definedName name="Z_60A1F930_4BEC_460A_8E14_01E47F6DD055_.wvu.Rows" localSheetId="0" hidden="1">'1. РО'!$28:$28,'1. РО'!$32:$32,'1. РО'!$52:$52,'1. РО'!$59:$59,'1. РО'!$71:$71,'1. РО'!$75:$75</definedName>
    <definedName name="Z_60A1F930_4BEC_460A_8E14_01E47F6DD055_.wvu.Rows" localSheetId="13" hidden="1">'14. РТС'!$14:$15,'14. РТС'!$19:$19,'14. РТС'!$30:$30,'14. РТС'!$33:$33,'14. РТС'!$36:$36,'14. РТС'!$43:$43</definedName>
    <definedName name="Z_60A1F930_4BEC_460A_8E14_01E47F6DD055_.wvu.Rows" localSheetId="19" hidden="1">'20. МСП'!$19:$19</definedName>
    <definedName name="Z_60A1F930_4BEC_460A_8E14_01E47F6DD055_.wvu.Rows" localSheetId="3" hidden="1">'4. КП'!$23:$23,'4. КП'!$27:$27,'4. КП'!$68:$68,'4. КП'!$75:$75,'4. КП'!$83:$83,'4. КП'!$87:$88,'4. КП'!$91:$91,'4. КП'!$93:$93</definedName>
    <definedName name="Z_60A1F930_4BEC_460A_8E14_01E47F6DD055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60A1F930_4BEC_460A_8E14_01E47F6DD055_.wvu.Rows" localSheetId="5" hidden="1">'6. СЗН'!$9:$9,'6. СЗН'!$14:$14,'6. СЗН'!$18:$18,'6. СЗН'!$22:$22,'6. СЗН'!$26:$26,'6. СЗН'!$30:$31,'6. СЗН'!$34:$34,'6. СЗН'!$36:$36,'6. СЗН'!$39:$39,'6. СЗН'!$43:$43,'6. СЗН'!$45:$45,'6. СЗН'!$47:$48</definedName>
    <definedName name="Z_60A1F930_4BEC_460A_8E14_01E47F6DD055_.wvu.Rows" localSheetId="8" hidden="1">'9. РЖКК'!$14:$14,'9. РЖКК'!$28:$28</definedName>
    <definedName name="Z_7C5A2A36_3D69_43D9_9018_A52C27EC78F9_.wvu.Rows" localSheetId="0" hidden="1">'1. РО'!$28:$28,'1. РО'!$32:$32,'1. РО'!$52:$52,'1. РО'!$59:$59,'1. РО'!$71:$71,'1. РО'!$75:$75</definedName>
    <definedName name="Z_7C5A2A36_3D69_43D9_9018_A52C27EC78F9_.wvu.Rows" localSheetId="13" hidden="1">'14. РТС'!$14:$15,'14. РТС'!$19:$19,'14. РТС'!$30:$30,'14. РТС'!$33:$33,'14. РТС'!$36:$36,'14. РТС'!$43:$43</definedName>
    <definedName name="Z_7C5A2A36_3D69_43D9_9018_A52C27EC78F9_.wvu.Rows" localSheetId="19" hidden="1">'20. МСП'!$19:$19</definedName>
    <definedName name="Z_7C5A2A36_3D69_43D9_9018_A52C27EC78F9_.wvu.Rows" localSheetId="3" hidden="1">'4. КП'!$23:$23,'4. КП'!$27:$27,'4. КП'!$68:$68,'4. КП'!$75:$75,'4. КП'!$83:$83,'4. КП'!$87:$88,'4. КП'!$91:$91,'4. КП'!$93:$93</definedName>
    <definedName name="Z_7C5A2A36_3D69_43D9_9018_A52C27EC78F9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7C5A2A36_3D69_43D9_9018_A52C27EC78F9_.wvu.Rows" localSheetId="5" hidden="1">'6. СЗН'!$9:$9,'6. СЗН'!$14:$14,'6. СЗН'!$18:$18,'6. СЗН'!$22:$22,'6. СЗН'!$26:$26,'6. СЗН'!$30:$31,'6. СЗН'!$34:$34,'6. СЗН'!$36:$36,'6. СЗН'!$39:$39,'6. СЗН'!$43:$43,'6. СЗН'!$45:$45,'6. СЗН'!$47:$48</definedName>
    <definedName name="Z_7C5A2A36_3D69_43D9_9018_A52C27EC78F9_.wvu.Rows" localSheetId="8" hidden="1">'9. РЖКК'!$14:$14,'9. РЖКК'!$28:$28</definedName>
    <definedName name="Z_996EC2F0_F6EC_4E63_A83E_34865157BD8D_.wvu.Rows" localSheetId="0" hidden="1">'1. РО'!$28:$28,'1. РО'!$32:$32,'1. РО'!$52:$52,'1. РО'!$71:$71</definedName>
    <definedName name="Z_996EC2F0_F6EC_4E63_A83E_34865157BD8D_.wvu.Rows" localSheetId="13" hidden="1">'14. РТС'!$14:$15,'14. РТС'!$19:$19,'14. РТС'!$30:$30,'14. РТС'!$33:$33,'14. РТС'!$36:$36,'14. РТС'!$43:$43</definedName>
    <definedName name="Z_996EC2F0_F6EC_4E63_A83E_34865157BD8D_.wvu.Rows" localSheetId="19" hidden="1">'20. МСП'!$19:$19</definedName>
    <definedName name="Z_996EC2F0_F6EC_4E63_A83E_34865157BD8D_.wvu.Rows" localSheetId="3" hidden="1">'4. КП'!$23:$23,'4. КП'!$27:$27,'4. КП'!$68:$68,'4. КП'!$75:$75,'4. КП'!$83:$83,'4. КП'!$87:$88,'4. КП'!$91:$91,'4. КП'!$93:$93</definedName>
    <definedName name="Z_996EC2F0_F6EC_4E63_A83E_34865157BD8D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996EC2F0_F6EC_4E63_A83E_34865157BD8D_.wvu.Rows" localSheetId="5" hidden="1">'6. СЗН'!$9:$9,'6. СЗН'!$14:$14,'6. СЗН'!$18:$18,'6. СЗН'!$22:$22,'6. СЗН'!$26:$26,'6. СЗН'!$30:$31,'6. СЗН'!$34:$34,'6. СЗН'!$36:$36,'6. СЗН'!$39:$39,'6. СЗН'!$43:$43,'6. СЗН'!$45:$45,'6. СЗН'!$47:$48</definedName>
    <definedName name="Z_996EC2F0_F6EC_4E63_A83E_34865157BD8D_.wvu.Rows" localSheetId="8" hidden="1">'9. РЖКК'!$14:$14,'9. РЖКК'!$28:$28</definedName>
    <definedName name="Z_A0E2FBF6_E560_4343_8BE6_217DC798135B_.wvu.Rows" localSheetId="0" hidden="1">'1. РО'!$28:$28,'1. РО'!$32:$32,'1. РО'!$52:$52,'1. РО'!$59:$59,'1. РО'!$71:$71,'1. РО'!$75:$75</definedName>
    <definedName name="Z_A0E2FBF6_E560_4343_8BE6_217DC798135B_.wvu.Rows" localSheetId="13" hidden="1">'14. РТС'!$14:$15,'14. РТС'!$19:$19,'14. РТС'!$30:$30,'14. РТС'!$33:$33,'14. РТС'!$36:$36,'14. РТС'!$43:$43</definedName>
    <definedName name="Z_A0E2FBF6_E560_4343_8BE6_217DC798135B_.wvu.Rows" localSheetId="19" hidden="1">'20. МСП'!$19:$19</definedName>
    <definedName name="Z_A0E2FBF6_E560_4343_8BE6_217DC798135B_.wvu.Rows" localSheetId="3" hidden="1">'4. КП'!$23:$23,'4. КП'!$27:$27,'4. КП'!$68:$68,'4. КП'!$75:$75,'4. КП'!$83:$83,'4. КП'!$87:$88,'4. КП'!$91:$91,'4. КП'!$93:$93</definedName>
    <definedName name="Z_A0E2FBF6_E560_4343_8BE6_217DC798135B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A0E2FBF6_E560_4343_8BE6_217DC798135B_.wvu.Rows" localSheetId="5" hidden="1">'6. СЗН'!$9:$9,'6. СЗН'!$14:$14,'6. СЗН'!$18:$18,'6. СЗН'!$22:$22,'6. СЗН'!$26:$26,'6. СЗН'!$30:$31,'6. СЗН'!$34:$34,'6. СЗН'!$36:$36,'6. СЗН'!$39:$39,'6. СЗН'!$43:$43,'6. СЗН'!$47:$48</definedName>
    <definedName name="Z_A0E2FBF6_E560_4343_8BE6_217DC798135B_.wvu.Rows" localSheetId="8" hidden="1">'9. РЖКК'!$14:$14,'9. РЖКК'!$28:$28</definedName>
    <definedName name="Z_A4AF2100_C59D_4F60_9EAB_56D9103463F7_.wvu.Rows" localSheetId="0" hidden="1">'1. РО'!$28:$28,'1. РО'!$32:$32,'1. РО'!$52:$52,'1. РО'!$59:$59,'1. РО'!$71:$71,'1. РО'!$75:$75</definedName>
    <definedName name="Z_A4AF2100_C59D_4F60_9EAB_56D9103463F7_.wvu.Rows" localSheetId="13" hidden="1">'14. РТС'!$14:$15,'14. РТС'!$19:$19,'14. РТС'!$30:$30,'14. РТС'!$33:$33,'14. РТС'!$36:$36,'14. РТС'!$43:$43</definedName>
    <definedName name="Z_A4AF2100_C59D_4F60_9EAB_56D9103463F7_.wvu.Rows" localSheetId="19" hidden="1">'20. МСП'!$19:$19</definedName>
    <definedName name="Z_A4AF2100_C59D_4F60_9EAB_56D9103463F7_.wvu.Rows" localSheetId="3" hidden="1">'4. КП'!$23:$23,'4. КП'!$27:$27,'4. КП'!$68:$68,'4. КП'!$75:$75,'4. КП'!$83:$83,'4. КП'!$87:$88,'4. КП'!$91:$91,'4. КП'!$93:$93</definedName>
    <definedName name="Z_A4AF2100_C59D_4F60_9EAB_56D9103463F7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A4AF2100_C59D_4F60_9EAB_56D9103463F7_.wvu.Rows" localSheetId="5" hidden="1">'6. СЗН'!$9:$9,'6. СЗН'!$14:$14,'6. СЗН'!$18:$18,'6. СЗН'!$22:$22,'6. СЗН'!$26:$26,'6. СЗН'!$30:$31,'6. СЗН'!$34:$34,'6. СЗН'!$36:$36,'6. СЗН'!$39:$39,'6. СЗН'!$43:$43,'6. СЗН'!$45:$45,'6. СЗН'!$47:$48</definedName>
    <definedName name="Z_A4AF2100_C59D_4F60_9EAB_56D9103463F7_.wvu.Rows" localSheetId="8" hidden="1">'9. РЖКК'!$14:$14,'9. РЖКК'!$28:$28</definedName>
    <definedName name="Z_AB9978E4_895D_4050_8F07_2484E22632D1_.wvu.Rows" localSheetId="0" hidden="1">'1. РО'!$28:$28,'1. РО'!$32:$32,'1. РО'!$52:$52,'1. РО'!$59:$59,'1. РО'!$71:$71,'1. РО'!$75:$75</definedName>
    <definedName name="Z_AB9978E4_895D_4050_8F07_2484E22632D1_.wvu.Rows" localSheetId="13" hidden="1">'14. РТС'!$14:$15,'14. РТС'!$19:$19,'14. РТС'!$30:$30,'14. РТС'!$33:$33,'14. РТС'!$36:$36,'14. РТС'!$43:$43</definedName>
    <definedName name="Z_AB9978E4_895D_4050_8F07_2484E22632D1_.wvu.Rows" localSheetId="19" hidden="1">'20. МСП'!$19:$19</definedName>
    <definedName name="Z_AB9978E4_895D_4050_8F07_2484E22632D1_.wvu.Rows" localSheetId="3" hidden="1">'4. КП'!$23:$23,'4. КП'!$27:$27,'4. КП'!$68:$68,'4. КП'!$75:$75,'4. КП'!$83:$83,'4. КП'!$87:$88,'4. КП'!$91:$91,'4. КП'!$93:$93</definedName>
    <definedName name="Z_AB9978E4_895D_4050_8F07_2484E22632D1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AB9978E4_895D_4050_8F07_2484E22632D1_.wvu.Rows" localSheetId="5" hidden="1">'6. СЗН'!$9:$9,'6. СЗН'!$14:$14,'6. СЗН'!$18:$18,'6. СЗН'!$22:$22,'6. СЗН'!$26:$26,'6. СЗН'!$30:$31,'6. СЗН'!$34:$34,'6. СЗН'!$36:$36,'6. СЗН'!$39:$39,'6. СЗН'!$43:$43,'6. СЗН'!$45:$45,'6. СЗН'!$47:$48</definedName>
    <definedName name="Z_AB9978E4_895D_4050_8F07_2484E22632D1_.wvu.Rows" localSheetId="8" hidden="1">'9. РЖКК'!$14:$14,'9. РЖКК'!$28:$28</definedName>
    <definedName name="Z_AFADB96A_0516_43C1_9F1B_0604F3CAC04A_.wvu.Rows" localSheetId="0" hidden="1">'1. РО'!$28:$28,'1. РО'!$32:$32,'1. РО'!$52:$52,'1. РО'!$59:$59,'1. РО'!$71:$71,'1. РО'!$75:$75</definedName>
    <definedName name="Z_AFADB96A_0516_43C1_9F1B_0604F3CAC04A_.wvu.Rows" localSheetId="13" hidden="1">'14. РТС'!$14:$15,'14. РТС'!$19:$19,'14. РТС'!$30:$30,'14. РТС'!$33:$33,'14. РТС'!$36:$36,'14. РТС'!$43:$43</definedName>
    <definedName name="Z_AFADB96A_0516_43C1_9F1B_0604F3CAC04A_.wvu.Rows" localSheetId="19" hidden="1">'20. МСП'!$19:$19</definedName>
    <definedName name="Z_AFADB96A_0516_43C1_9F1B_0604F3CAC04A_.wvu.Rows" localSheetId="3" hidden="1">'4. КП'!$23:$23,'4. КП'!$27:$27,'4. КП'!$68:$68,'4. КП'!$75:$75,'4. КП'!$83:$83,'4. КП'!$87:$88,'4. КП'!$91:$91,'4. КП'!$93:$93</definedName>
    <definedName name="Z_AFADB96A_0516_43C1_9F1B_0604F3CAC04A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AFADB96A_0516_43C1_9F1B_0604F3CAC04A_.wvu.Rows" localSheetId="5" hidden="1">'6. СЗН'!$9:$9,'6. СЗН'!$14:$14,'6. СЗН'!$18:$18,'6. СЗН'!$22:$22,'6. СЗН'!$26:$26,'6. СЗН'!$30:$31,'6. СЗН'!$34:$34,'6. СЗН'!$36:$36,'6. СЗН'!$39:$39,'6. СЗН'!$43:$43,'6. СЗН'!$45:$45,'6. СЗН'!$47:$48</definedName>
    <definedName name="Z_AFADB96A_0516_43C1_9F1B_0604F3CAC04A_.wvu.Rows" localSheetId="8" hidden="1">'9. РЖКК'!$14:$14,'9. РЖКК'!$28:$28</definedName>
    <definedName name="Z_B6B60ED6_A6CC_4DA7_A8CA_5E6DB52D5A87_.wvu.Rows" localSheetId="0" hidden="1">'1. РО'!$28:$28,'1. РО'!$32:$32,'1. РО'!$52:$52,'1. РО'!$59:$59,'1. РО'!$71:$71,'1. РО'!$75:$75</definedName>
    <definedName name="Z_B6B60ED6_A6CC_4DA7_A8CA_5E6DB52D5A87_.wvu.Rows" localSheetId="13" hidden="1">'14. РТС'!$14:$15,'14. РТС'!$19:$19,'14. РТС'!$30:$30,'14. РТС'!$33:$33,'14. РТС'!$36:$36,'14. РТС'!$43:$43</definedName>
    <definedName name="Z_B6B60ED6_A6CC_4DA7_A8CA_5E6DB52D5A87_.wvu.Rows" localSheetId="19" hidden="1">'20. МСП'!$19:$19</definedName>
    <definedName name="Z_B6B60ED6_A6CC_4DA7_A8CA_5E6DB52D5A87_.wvu.Rows" localSheetId="3" hidden="1">'4. КП'!$23:$23,'4. КП'!$27:$27,'4. КП'!$68:$68,'4. КП'!$75:$75,'4. КП'!$83:$83,'4. КП'!$87:$88,'4. КП'!$91:$91,'4. КП'!$93:$93</definedName>
    <definedName name="Z_B6B60ED6_A6CC_4DA7_A8CA_5E6DB52D5A87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B6B60ED6_A6CC_4DA7_A8CA_5E6DB52D5A87_.wvu.Rows" localSheetId="5" hidden="1">'6. СЗН'!$9:$9,'6. СЗН'!$14:$14,'6. СЗН'!$18:$18,'6. СЗН'!$22:$22,'6. СЗН'!$26:$26,'6. СЗН'!$30:$31,'6. СЗН'!$34:$34,'6. СЗН'!$36:$36,'6. СЗН'!$39:$39,'6. СЗН'!$43:$43,'6. СЗН'!$45:$45,'6. СЗН'!$47:$48</definedName>
    <definedName name="Z_B6B60ED6_A6CC_4DA7_A8CA_5E6DB52D5A87_.wvu.Rows" localSheetId="8" hidden="1">'9. РЖКК'!$14:$14,'9. РЖКК'!$28:$28</definedName>
    <definedName name="Z_BBF6B43F_E0FC_43DF_B91C_674F6AB4B556_.wvu.Rows" localSheetId="0" hidden="1">'1. РО'!$28:$28,'1. РО'!$32:$32,'1. РО'!$52:$52,'1. РО'!$59:$59,'1. РО'!$71:$71,'1. РО'!$75:$75</definedName>
    <definedName name="Z_BBF6B43F_E0FC_43DF_B91C_674F6AB4B556_.wvu.Rows" localSheetId="13" hidden="1">'14. РТС'!$14:$15,'14. РТС'!$19:$19,'14. РТС'!$30:$30,'14. РТС'!$33:$33,'14. РТС'!$36:$36,'14. РТС'!$43:$43</definedName>
    <definedName name="Z_BBF6B43F_E0FC_43DF_B91C_674F6AB4B556_.wvu.Rows" localSheetId="19" hidden="1">'20. МСП'!$19:$19</definedName>
    <definedName name="Z_BBF6B43F_E0FC_43DF_B91C_674F6AB4B556_.wvu.Rows" localSheetId="3" hidden="1">'4. КП'!$23:$23,'4. КП'!$27:$27,'4. КП'!$68:$68,'4. КП'!$75:$75,'4. КП'!$83:$83,'4. КП'!$87:$88,'4. КП'!$91:$91,'4. КП'!$93:$93</definedName>
    <definedName name="Z_BBF6B43F_E0FC_43DF_B91C_674F6AB4B556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BBF6B43F_E0FC_43DF_B91C_674F6AB4B556_.wvu.Rows" localSheetId="5" hidden="1">'6. СЗН'!$9:$9,'6. СЗН'!$14:$14,'6. СЗН'!$18:$18,'6. СЗН'!$22:$22,'6. СЗН'!$26:$26,'6. СЗН'!$30:$31,'6. СЗН'!$34:$34,'6. СЗН'!$36:$36,'6. СЗН'!$39:$39,'6. СЗН'!$43:$43,'6. СЗН'!$45:$45,'6. СЗН'!$47:$48</definedName>
    <definedName name="Z_BBF6B43F_E0FC_43DF_B91C_674F6AB4B556_.wvu.Rows" localSheetId="8" hidden="1">'9. РЖКК'!$14:$14,'9. РЖКК'!$28:$28</definedName>
    <definedName name="Z_C282AA4E_1BB5_4296_9AC6_844C0F88E5FC_.wvu.Rows" localSheetId="0" hidden="1">'1. РО'!$28:$28,'1. РО'!$32:$32,'1. РО'!$52:$52,'1. РО'!$59:$59,'1. РО'!$71:$71,'1. РО'!$75:$75</definedName>
    <definedName name="Z_C282AA4E_1BB5_4296_9AC6_844C0F88E5FC_.wvu.Rows" localSheetId="13" hidden="1">'14. РТС'!$14:$15,'14. РТС'!$19:$19,'14. РТС'!$30:$30,'14. РТС'!$33:$33,'14. РТС'!$36:$36,'14. РТС'!$43:$43</definedName>
    <definedName name="Z_C282AA4E_1BB5_4296_9AC6_844C0F88E5FC_.wvu.Rows" localSheetId="19" hidden="1">'20. МСП'!$19:$19</definedName>
    <definedName name="Z_C282AA4E_1BB5_4296_9AC6_844C0F88E5FC_.wvu.Rows" localSheetId="3" hidden="1">'4. КП'!$23:$23,'4. КП'!$27:$27,'4. КП'!$68:$68,'4. КП'!$75:$75,'4. КП'!$83:$83,'4. КП'!$87:$88,'4. КП'!$91:$91,'4. КП'!$93:$93</definedName>
    <definedName name="Z_C282AA4E_1BB5_4296_9AC6_844C0F88E5FC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C282AA4E_1BB5_4296_9AC6_844C0F88E5FC_.wvu.Rows" localSheetId="5" hidden="1">'6. СЗН'!$9:$9,'6. СЗН'!$14:$14,'6. СЗН'!$18:$18,'6. СЗН'!$22:$22,'6. СЗН'!$26:$26,'6. СЗН'!$30:$31,'6. СЗН'!$34:$34,'6. СЗН'!$36:$36,'6. СЗН'!$39:$39,'6. СЗН'!$43:$43,'6. СЗН'!$45:$45,'6. СЗН'!$47:$48</definedName>
    <definedName name="Z_C282AA4E_1BB5_4296_9AC6_844C0F88E5FC_.wvu.Rows" localSheetId="8" hidden="1">'9. РЖКК'!$14:$14,'9. РЖКК'!$28:$28</definedName>
    <definedName name="Z_C7DC638A_7F60_46C9_A1FB_9ADEAE87F332_.wvu.Rows" localSheetId="0" hidden="1">'1. РО'!$28:$28,'1. РО'!$32:$32,'1. РО'!$52:$52,'1. РО'!$59:$59,'1. РО'!$71:$71,'1. РО'!$75:$75</definedName>
    <definedName name="Z_C7DC638A_7F60_46C9_A1FB_9ADEAE87F332_.wvu.Rows" localSheetId="13" hidden="1">'14. РТС'!$14:$15,'14. РТС'!$19:$19,'14. РТС'!$30:$30,'14. РТС'!$33:$33,'14. РТС'!$36:$36,'14. РТС'!$43:$43</definedName>
    <definedName name="Z_C7DC638A_7F60_46C9_A1FB_9ADEAE87F332_.wvu.Rows" localSheetId="19" hidden="1">'20. МСП'!$19:$19</definedName>
    <definedName name="Z_C7DC638A_7F60_46C9_A1FB_9ADEAE87F332_.wvu.Rows" localSheetId="3" hidden="1">'4. КП'!$23:$23,'4. КП'!$27:$27,'4. КП'!$68:$68,'4. КП'!$75:$75,'4. КП'!$83:$83,'4. КП'!$87:$88,'4. КП'!$91:$91,'4. КП'!$93:$93</definedName>
    <definedName name="Z_C7DC638A_7F60_46C9_A1FB_9ADEAE87F332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C7DC638A_7F60_46C9_A1FB_9ADEAE87F332_.wvu.Rows" localSheetId="5" hidden="1">'6. СЗН'!$9:$9,'6. СЗН'!$14:$14,'6. СЗН'!$18:$18,'6. СЗН'!$22:$22,'6. СЗН'!$26:$26,'6. СЗН'!$30:$31,'6. СЗН'!$34:$34,'6. СЗН'!$36:$36,'6. СЗН'!$39:$39,'6. СЗН'!$43:$43,'6. СЗН'!$45:$45,'6. СЗН'!$47:$48</definedName>
    <definedName name="Z_C7DC638A_7F60_46C9_A1FB_9ADEAE87F332_.wvu.Rows" localSheetId="8" hidden="1">'9. РЖКК'!$14:$14,'9. РЖКК'!$28:$28</definedName>
    <definedName name="Z_DAEDC989_02E7_4319_8354_59410ACF3F1F_.wvu.Rows" localSheetId="0" hidden="1">'1. РО'!$28:$28,'1. РО'!$32:$32,'1. РО'!$52:$52,'1. РО'!$59:$59,'1. РО'!$71:$71,'1. РО'!$75:$75</definedName>
    <definedName name="Z_DAEDC989_02E7_4319_8354_59410ACF3F1F_.wvu.Rows" localSheetId="13" hidden="1">'14. РТС'!$14:$15,'14. РТС'!$19:$19,'14. РТС'!$30:$30,'14. РТС'!$33:$33,'14. РТС'!$36:$36,'14. РТС'!$43:$43</definedName>
    <definedName name="Z_DAEDC989_02E7_4319_8354_59410ACF3F1F_.wvu.Rows" localSheetId="19" hidden="1">'20. МСП'!$19:$19</definedName>
    <definedName name="Z_DAEDC989_02E7_4319_8354_59410ACF3F1F_.wvu.Rows" localSheetId="3" hidden="1">'4. КП'!$23:$23,'4. КП'!$27:$27,'4. КП'!$68:$68,'4. КП'!$75:$75,'4. КП'!$83:$83,'4. КП'!$87:$88,'4. КП'!$91:$91,'4. КП'!$93:$93</definedName>
    <definedName name="Z_DAEDC989_02E7_4319_8354_59410ACF3F1F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DAEDC989_02E7_4319_8354_59410ACF3F1F_.wvu.Rows" localSheetId="5" hidden="1">'6. СЗН'!$9:$9,'6. СЗН'!$14:$14,'6. СЗН'!$18:$18,'6. СЗН'!$22:$22,'6. СЗН'!$26:$26,'6. СЗН'!$30:$31,'6. СЗН'!$34:$34,'6. СЗН'!$36:$36,'6. СЗН'!$39:$39,'6. СЗН'!$43:$43,'6. СЗН'!$45:$45,'6. СЗН'!$47:$48</definedName>
    <definedName name="Z_DAEDC989_02E7_4319_8354_59410ACF3F1F_.wvu.Rows" localSheetId="8" hidden="1">'9. РЖКК'!$14:$14,'9. РЖКК'!$28:$28</definedName>
    <definedName name="Z_EA46B61D_849C_4795_A4FF_F8F1740022EB_.wvu.Rows" localSheetId="0" hidden="1">'1. РО'!$28:$28,'1. РО'!$32:$32,'1. РО'!$52:$52,'1. РО'!$59:$59,'1. РО'!$71:$71,'1. РО'!$75:$75</definedName>
    <definedName name="Z_EA46B61D_849C_4795_A4FF_F8F1740022EB_.wvu.Rows" localSheetId="13" hidden="1">'14. РТС'!$14:$15,'14. РТС'!$19:$19,'14. РТС'!$30:$30,'14. РТС'!$33:$33,'14. РТС'!$36:$36,'14. РТС'!$43:$43</definedName>
    <definedName name="Z_EA46B61D_849C_4795_A4FF_F8F1740022EB_.wvu.Rows" localSheetId="19" hidden="1">'20. МСП'!$19:$19</definedName>
    <definedName name="Z_EA46B61D_849C_4795_A4FF_F8F1740022EB_.wvu.Rows" localSheetId="3" hidden="1">'4. КП'!$23:$23,'4. КП'!$27:$27,'4. КП'!$68:$68,'4. КП'!$75:$75,'4. КП'!$83:$83,'4. КП'!$87:$88,'4. КП'!$91:$91,'4. КП'!$93:$93</definedName>
    <definedName name="Z_EA46B61D_849C_4795_A4FF_F8F1740022EB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EA46B61D_849C_4795_A4FF_F8F1740022EB_.wvu.Rows" localSheetId="5" hidden="1">'6. СЗН'!$9:$9,'6. СЗН'!$14:$14,'6. СЗН'!$18:$18,'6. СЗН'!$22:$22,'6. СЗН'!$26:$26,'6. СЗН'!$30:$31,'6. СЗН'!$34:$34,'6. СЗН'!$36:$36,'6. СЗН'!$39:$39,'6. СЗН'!$43:$43,'6. СЗН'!$45:$45,'6. СЗН'!$47:$48</definedName>
    <definedName name="Z_EA46B61D_849C_4795_A4FF_F8F1740022EB_.wvu.Rows" localSheetId="8" hidden="1">'9. РЖКК'!$14:$14,'9. РЖКК'!$28:$28</definedName>
  </definedNames>
  <calcPr calcId="162913"/>
  <customWorkbookViews>
    <customWorkbookView name="Тихонова Лариса Анатольевна - Личное представление" guid="{2940A182-D1A7-43C5-8D6E-965BED4371B0}" mergeInterval="0" personalView="1" maximized="1" xWindow="-8" yWindow="-8" windowWidth="1936" windowHeight="1056" activeSheetId="4"/>
    <customWorkbookView name="Мягкова Оксана Викторовна - Личное представление" guid="{BBF6B43F-E0FC-43DF-B91C-674F6AB4B556}" mergeInterval="0" personalView="1" maximized="1" xWindow="-8" yWindow="-8" windowWidth="1936" windowHeight="1056" activeSheetId="5"/>
    <customWorkbookView name="Васильева Мария Сергеевна - Личное представление" guid="{30B635D9-57DB-47D5-8A0F-4B30DD769960}" mergeInterval="0" personalView="1" maximized="1" xWindow="-8" yWindow="-8" windowWidth="1936" windowHeight="1056" activeSheetId="9"/>
    <customWorkbookView name="Чекменева Наталья Валерьевна - Личное представление" guid="{DAEDC989-02E7-4319-8354-59410ACF3F1F}" mergeInterval="0" personalView="1" maximized="1" xWindow="-8" yWindow="-8" windowWidth="1936" windowHeight="1056" activeSheetId="9"/>
    <customWorkbookView name="Митина Екатерина Сергеевна - Личное представление" guid="{21E1D423-7B38-4272-8354-09B4DB62C9EB}" mergeInterval="0" personalView="1" maximized="1" xWindow="-8" yWindow="-8" windowWidth="2576" windowHeight="1408" activeSheetId="13"/>
    <customWorkbookView name="Хазиева Татьяна Михайловна - Личное представление" guid="{EA46B61D-849C-4795-A4FF-F8F1740022EB}" mergeInterval="0" personalView="1" xWindow="884" yWindow="88" windowWidth="979" windowHeight="844" activeSheetId="10"/>
    <customWorkbookView name="Мартынова Снежана Владимировна - Личное представление" guid="{A0E2FBF6-E560-4343-8BE6-217DC798135B}" mergeInterval="0" personalView="1" maximized="1" xWindow="-8" yWindow="-8" windowWidth="1936" windowHeight="1056" activeSheetId="6"/>
    <customWorkbookView name="Ахрамович Евгения Анатольевна - Личное представление" guid="{20A05A62-CBE8-4538-BBC3-2AD9D3B8FAC0}" mergeInterval="0" personalView="1" maximized="1" xWindow="-8" yWindow="-8" windowWidth="1936" windowHeight="1056" activeSheetId="16"/>
    <customWorkbookView name="Осинцева Татьяна Николаевна - Личное представление" guid="{A4AF2100-C59D-4F60-9EAB-56D9103463F7}" mergeInterval="0" personalView="1" maximized="1" xWindow="-8" yWindow="-8" windowWidth="1936" windowHeight="1056" activeSheetId="9"/>
    <customWorkbookView name="Цёвка Елена Александровна - Личное представление" guid="{AB9978E4-895D-4050-8F07-2484E22632D1}" mergeInterval="0" personalView="1" maximized="1" xWindow="-8" yWindow="-8" windowWidth="1936" windowHeight="1048" activeSheetId="5"/>
    <customWorkbookView name="Хамадуллина Анастасия Олеговна - Личное представление" guid="{519948E4-0B24-465F-9D9E-44BE50D1D647}" mergeInterval="0" personalView="1" maximized="1" xWindow="-8" yWindow="-8" windowWidth="1936" windowHeight="1056" activeSheetId="17"/>
    <customWorkbookView name="Ильина Альбина Фанилевна - Личное представление" guid="{C7DC638A-7F60-46C9-A1FB-9ADEAE87F332}" mergeInterval="0" personalView="1" maximized="1" xWindow="-8" yWindow="-8" windowWidth="1936" windowHeight="1056" activeSheetId="15"/>
    <customWorkbookView name="Степаненко Наталья Алексеевна - Личное представление" guid="{2A5A11D4-90C6-4A3E-8165-7D7BD634B22F}" mergeInterval="0" personalView="1" maximized="1" xWindow="-8" yWindow="-8" windowWidth="1936" windowHeight="1048" activeSheetId="8"/>
    <customWorkbookView name="Зарбалиева Оксана Валерьевна - Личное представление" guid="{562453CE-35F5-40A3-AD14-6399D1197C99}" mergeInterval="0" personalView="1" maximized="1" xWindow="-8" yWindow="-8" windowWidth="1936" windowHeight="1056" activeSheetId="15"/>
    <customWorkbookView name="Епифанова Елена Валерьевна - Личное представление" guid="{B6B60ED6-A6CC-4DA7-A8CA-5E6DB52D5A87}" mergeInterval="0" personalView="1" maximized="1" xWindow="-8" yWindow="-8" windowWidth="1936" windowHeight="1056" activeSheetId="12"/>
    <customWorkbookView name="Лукманова Эльвира Наильевна - Личное представление" guid="{133BB3F8-8DD4-4AEF-8CD6-A5FB14681329}" mergeInterval="0" personalView="1" maximized="1" xWindow="-8" yWindow="-8" windowWidth="1936" windowHeight="1056" activeSheetId="18"/>
    <customWorkbookView name="Игошкина Марина Юрьевна - Личное представление" guid="{5DF2C78B-5EE4-439D-8D72-8D3A913B65F9}" mergeInterval="0" personalView="1" maximized="1" xWindow="-8" yWindow="-8" windowWidth="1936" windowHeight="1096" activeSheetId="19"/>
    <customWorkbookView name="Подворчан Оксана - Личное представление" guid="{60A1F930-4BEC-460A-8E14-01E47F6DD055}" mergeInterval="0" personalView="1" maximized="1" xWindow="-4" yWindow="-4" windowWidth="1928" windowHeight="1038" activeSheetId="16"/>
    <customWorkbookView name="Шамерзоева Татьяна Федоровна - Личное представление" guid="{7C5A2A36-3D69-43D9-9018-A52C27EC78F9}" mergeInterval="0" personalView="1" maximized="1" xWindow="-8" yWindow="-8" windowWidth="2576" windowHeight="1416" activeSheetId="7"/>
    <customWorkbookView name="Спиридонова Юлия Леонидовна - Личное представление" guid="{C282AA4E-1BB5-4296-9AC6-844C0F88E5FC}" mergeInterval="0" personalView="1" maximized="1" xWindow="-8" yWindow="-8" windowWidth="2576" windowHeight="1408" activeSheetId="20"/>
    <customWorkbookView name="Харченко Ольга Владимировна - Личное представление" guid="{996EC2F0-F6EC-4E63-A83E-34865157BD8D}" mergeInterval="0" personalView="1" maximized="1" xWindow="-8" yWindow="-8" windowWidth="1936" windowHeight="1056" activeSheetId="1"/>
    <customWorkbookView name="Цыганкова Ирина Анатольевна - Личное представление" guid="{AFADB96A-0516-43C1-9F1B-0604F3CAC04A}" mergeInterval="0" personalView="1" maximized="1" xWindow="-8" yWindow="-8" windowWidth="2576" windowHeight="1408" activeSheetId="8"/>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80" i="4" l="1"/>
  <c r="E49" i="8" l="1"/>
  <c r="E45" i="8"/>
  <c r="E43" i="8"/>
  <c r="E38" i="8"/>
  <c r="E37" i="8"/>
  <c r="E35" i="8"/>
  <c r="E33" i="8"/>
  <c r="E32" i="8"/>
  <c r="E29" i="8"/>
  <c r="E28" i="8"/>
  <c r="E26" i="8"/>
  <c r="E25" i="8"/>
  <c r="E23" i="8"/>
  <c r="E22" i="8"/>
  <c r="E20" i="8"/>
  <c r="E19" i="8"/>
  <c r="E16" i="8"/>
  <c r="E15" i="8"/>
  <c r="E14" i="8"/>
  <c r="E10" i="8"/>
  <c r="E9" i="8"/>
  <c r="E102" i="1" l="1"/>
  <c r="E88" i="1" l="1"/>
  <c r="E86" i="1"/>
  <c r="AF82" i="1"/>
  <c r="P82" i="1"/>
  <c r="E82" i="1" s="1"/>
  <c r="V76" i="1" l="1"/>
  <c r="E76" i="1"/>
  <c r="D77" i="1"/>
  <c r="E77" i="1"/>
  <c r="G77" i="1"/>
  <c r="H77" i="1" l="1"/>
  <c r="F77" i="1"/>
  <c r="I77" i="1"/>
  <c r="E78" i="1" l="1"/>
  <c r="O73" i="1"/>
  <c r="E66" i="1"/>
  <c r="V64" i="1" l="1"/>
  <c r="E64" i="1"/>
  <c r="AF54" i="1"/>
  <c r="E54" i="1"/>
  <c r="E51" i="1"/>
  <c r="E49" i="1"/>
  <c r="E47" i="1"/>
  <c r="Q39" i="1"/>
  <c r="G45" i="1"/>
  <c r="E45" i="1"/>
  <c r="AF43" i="1" l="1"/>
  <c r="E44" i="1"/>
  <c r="E31" i="1"/>
  <c r="E29" i="1"/>
  <c r="E25" i="1"/>
  <c r="E26" i="1"/>
  <c r="E24" i="1"/>
  <c r="E16" i="1"/>
  <c r="E17" i="1"/>
  <c r="E18" i="1"/>
  <c r="E15" i="1"/>
  <c r="E14" i="1" l="1"/>
  <c r="H18" i="3"/>
  <c r="E18" i="3"/>
  <c r="I18" i="3"/>
  <c r="G18" i="3"/>
  <c r="F18" i="3" s="1"/>
  <c r="D17" i="3"/>
  <c r="G20" i="3"/>
  <c r="F20" i="3"/>
  <c r="E20" i="3"/>
  <c r="AG11" i="3"/>
  <c r="AF11" i="3"/>
  <c r="AE11" i="3"/>
  <c r="AD11" i="3"/>
  <c r="AC11" i="3"/>
  <c r="AB11" i="3"/>
  <c r="AA11" i="3"/>
  <c r="Z11" i="3"/>
  <c r="Y11" i="3"/>
  <c r="X11" i="3"/>
  <c r="W11" i="3"/>
  <c r="V11" i="3"/>
  <c r="U11" i="3"/>
  <c r="T11" i="3"/>
  <c r="S11" i="3"/>
  <c r="R11" i="3"/>
  <c r="Q11" i="3"/>
  <c r="P11" i="3"/>
  <c r="O11" i="3"/>
  <c r="N11" i="3"/>
  <c r="M11" i="3"/>
  <c r="L11" i="3"/>
  <c r="K11" i="3"/>
  <c r="J11" i="3"/>
  <c r="Z13" i="3"/>
  <c r="D16" i="3"/>
  <c r="E16" i="3"/>
  <c r="E17" i="3"/>
  <c r="AB17" i="3"/>
  <c r="D18" i="3"/>
  <c r="D11" i="3" l="1"/>
  <c r="E22" i="20"/>
  <c r="D15" i="2"/>
  <c r="D14" i="2"/>
  <c r="H14" i="2" s="1"/>
  <c r="E14" i="2"/>
  <c r="F14" i="2"/>
  <c r="G14" i="2"/>
  <c r="I14" i="2" s="1"/>
  <c r="G15" i="2" l="1"/>
  <c r="E15" i="2"/>
  <c r="F15" i="2" s="1"/>
  <c r="E15" i="13" l="1"/>
  <c r="E19" i="13"/>
  <c r="E17" i="13"/>
  <c r="E12" i="13"/>
  <c r="E18" i="2" l="1"/>
  <c r="AF18" i="2"/>
  <c r="AD18" i="2"/>
  <c r="AB18" i="2"/>
  <c r="Z18" i="2"/>
  <c r="X18" i="2"/>
  <c r="V18" i="2"/>
  <c r="T18" i="2"/>
  <c r="R18" i="2"/>
  <c r="P18" i="2"/>
  <c r="G13" i="7" l="1"/>
  <c r="F15" i="7"/>
  <c r="F13" i="7"/>
  <c r="F9" i="7"/>
  <c r="E8" i="7"/>
  <c r="E12" i="7"/>
  <c r="E15" i="7"/>
  <c r="E13" i="7"/>
  <c r="G16" i="9" l="1"/>
  <c r="AI22" i="9"/>
  <c r="E16" i="9"/>
  <c r="E15" i="9"/>
  <c r="D16" i="9"/>
  <c r="H16" i="9" s="1"/>
  <c r="AI15" i="9" l="1"/>
  <c r="I16" i="9"/>
  <c r="Q73" i="5"/>
  <c r="Q32" i="5"/>
  <c r="E73" i="5" l="1"/>
  <c r="AB32" i="5"/>
  <c r="Z32" i="5"/>
  <c r="X32" i="5"/>
  <c r="P32" i="5"/>
  <c r="L32" i="5"/>
  <c r="AF32" i="5"/>
  <c r="AD32" i="5"/>
  <c r="V32" i="5"/>
  <c r="T32" i="5"/>
  <c r="R32" i="5"/>
  <c r="N32" i="5"/>
  <c r="J32" i="5"/>
  <c r="D32" i="5"/>
  <c r="D15" i="9" l="1"/>
  <c r="E12" i="15" l="1"/>
  <c r="E14" i="15"/>
  <c r="O76" i="5" l="1"/>
  <c r="P72" i="5" l="1"/>
  <c r="E53" i="16" l="1"/>
  <c r="E52" i="16" s="1"/>
  <c r="E42" i="16"/>
  <c r="E9" i="16"/>
  <c r="E8" i="16" s="1"/>
  <c r="G27" i="5" l="1"/>
  <c r="P27" i="5"/>
  <c r="E33" i="16" l="1"/>
  <c r="D27" i="16"/>
  <c r="E28" i="16"/>
  <c r="E27" i="16" s="1"/>
  <c r="G24" i="19" l="1"/>
  <c r="H24" i="19" s="1"/>
  <c r="F24" i="19"/>
  <c r="F23" i="19" s="1"/>
  <c r="E24" i="19"/>
  <c r="I24" i="19" s="1"/>
  <c r="D24" i="19"/>
  <c r="D23" i="19" s="1"/>
  <c r="H23" i="19" s="1"/>
  <c r="AG23" i="19"/>
  <c r="AF23" i="19"/>
  <c r="AE23" i="19"/>
  <c r="AD23" i="19"/>
  <c r="AC23" i="19"/>
  <c r="AB23" i="19"/>
  <c r="AA23" i="19"/>
  <c r="Z23" i="19"/>
  <c r="Y23" i="19"/>
  <c r="X23" i="19"/>
  <c r="W23" i="19"/>
  <c r="V23" i="19"/>
  <c r="U23" i="19"/>
  <c r="T23" i="19"/>
  <c r="S23" i="19"/>
  <c r="R23" i="19"/>
  <c r="Q23" i="19"/>
  <c r="P23" i="19"/>
  <c r="O23" i="19"/>
  <c r="N23" i="19"/>
  <c r="M23" i="19"/>
  <c r="L23" i="19"/>
  <c r="K23" i="19"/>
  <c r="J23" i="19"/>
  <c r="G23" i="19"/>
  <c r="I21" i="19"/>
  <c r="G21" i="19"/>
  <c r="H21" i="19" s="1"/>
  <c r="F21" i="19"/>
  <c r="E21" i="19"/>
  <c r="D21" i="19"/>
  <c r="G20" i="19"/>
  <c r="G18" i="19" s="1"/>
  <c r="E20" i="19"/>
  <c r="D20" i="19"/>
  <c r="D18" i="19" s="1"/>
  <c r="G19" i="19"/>
  <c r="H19" i="19" s="1"/>
  <c r="E19" i="19"/>
  <c r="I19" i="19" s="1"/>
  <c r="D19" i="19"/>
  <c r="AG18" i="19"/>
  <c r="AF18" i="19"/>
  <c r="AE18" i="19"/>
  <c r="AD18" i="19"/>
  <c r="AC18" i="19"/>
  <c r="AB18" i="19"/>
  <c r="AA18" i="19"/>
  <c r="Z18" i="19"/>
  <c r="Y18" i="19"/>
  <c r="X18" i="19"/>
  <c r="W18" i="19"/>
  <c r="V18" i="19"/>
  <c r="U18" i="19"/>
  <c r="T18" i="19"/>
  <c r="S18" i="19"/>
  <c r="R18" i="19"/>
  <c r="Q18" i="19"/>
  <c r="P18" i="19"/>
  <c r="O18" i="19"/>
  <c r="N18" i="19"/>
  <c r="M18" i="19"/>
  <c r="L18" i="19"/>
  <c r="K18" i="19"/>
  <c r="J18" i="19"/>
  <c r="AF17" i="19"/>
  <c r="AF16" i="19" s="1"/>
  <c r="P17" i="19"/>
  <c r="P16" i="19" s="1"/>
  <c r="O17" i="19"/>
  <c r="O16" i="19" s="1"/>
  <c r="N17" i="19"/>
  <c r="N16" i="19" s="1"/>
  <c r="M17" i="19"/>
  <c r="M11" i="19" s="1"/>
  <c r="G11" i="19" s="1"/>
  <c r="L17" i="19"/>
  <c r="G17" i="19"/>
  <c r="D17" i="19"/>
  <c r="D16" i="19" s="1"/>
  <c r="AG16" i="19"/>
  <c r="AE16" i="19"/>
  <c r="AD16" i="19"/>
  <c r="AC16" i="19"/>
  <c r="AB16" i="19"/>
  <c r="AA16" i="19"/>
  <c r="Z16" i="19"/>
  <c r="Y16" i="19"/>
  <c r="X16" i="19"/>
  <c r="W16" i="19"/>
  <c r="V16" i="19"/>
  <c r="U16" i="19"/>
  <c r="T16" i="19"/>
  <c r="S16" i="19"/>
  <c r="R16" i="19"/>
  <c r="Q16" i="19"/>
  <c r="M16" i="19"/>
  <c r="L16" i="19"/>
  <c r="K16" i="19"/>
  <c r="J16" i="19"/>
  <c r="H14" i="19"/>
  <c r="G14" i="19"/>
  <c r="F14" i="19" s="1"/>
  <c r="F13" i="19" s="1"/>
  <c r="E14" i="19"/>
  <c r="D14" i="19"/>
  <c r="D13" i="19" s="1"/>
  <c r="AG13" i="19"/>
  <c r="AF13" i="19"/>
  <c r="AE13" i="19"/>
  <c r="AD13" i="19"/>
  <c r="AC13" i="19"/>
  <c r="AB13" i="19"/>
  <c r="AA13" i="19"/>
  <c r="Z13" i="19"/>
  <c r="Y13" i="19"/>
  <c r="X13" i="19"/>
  <c r="W13" i="19"/>
  <c r="V13" i="19"/>
  <c r="U13" i="19"/>
  <c r="T13" i="19"/>
  <c r="S13" i="19"/>
  <c r="R13" i="19"/>
  <c r="Q13" i="19"/>
  <c r="P13" i="19"/>
  <c r="O13" i="19"/>
  <c r="N13" i="19"/>
  <c r="M13" i="19"/>
  <c r="L13" i="19"/>
  <c r="K13" i="19"/>
  <c r="J13" i="19"/>
  <c r="E13" i="19"/>
  <c r="AG11" i="19"/>
  <c r="AE11" i="19"/>
  <c r="AD11" i="19"/>
  <c r="AC11" i="19"/>
  <c r="AB11" i="19"/>
  <c r="AA11" i="19"/>
  <c r="Z11" i="19"/>
  <c r="Y11" i="19"/>
  <c r="X11" i="19"/>
  <c r="W11" i="19"/>
  <c r="V11" i="19"/>
  <c r="U11" i="19"/>
  <c r="T11" i="19"/>
  <c r="S11" i="19"/>
  <c r="R11" i="19"/>
  <c r="Q11" i="19"/>
  <c r="P11" i="19"/>
  <c r="O11" i="19"/>
  <c r="L11" i="19"/>
  <c r="K11" i="19"/>
  <c r="J11" i="19"/>
  <c r="AG10" i="19"/>
  <c r="AF10" i="19"/>
  <c r="AE10" i="19"/>
  <c r="AD10" i="19"/>
  <c r="AC10" i="19"/>
  <c r="AC8" i="19" s="1"/>
  <c r="AB10" i="19"/>
  <c r="AA10" i="19"/>
  <c r="Z10" i="19"/>
  <c r="Z8" i="19" s="1"/>
  <c r="Y10" i="19"/>
  <c r="X10" i="19"/>
  <c r="W10" i="19"/>
  <c r="V10" i="19"/>
  <c r="U10" i="19"/>
  <c r="U8" i="19" s="1"/>
  <c r="T10" i="19"/>
  <c r="S10" i="19"/>
  <c r="R10" i="19"/>
  <c r="R8" i="19" s="1"/>
  <c r="Q10" i="19"/>
  <c r="P10" i="19"/>
  <c r="O10" i="19"/>
  <c r="N10" i="19"/>
  <c r="M10" i="19"/>
  <c r="L10" i="19"/>
  <c r="K10" i="19"/>
  <c r="J10" i="19"/>
  <c r="J8" i="19" s="1"/>
  <c r="AG9" i="19"/>
  <c r="AF9" i="19"/>
  <c r="AE9" i="19"/>
  <c r="AE8" i="19" s="1"/>
  <c r="AD9" i="19"/>
  <c r="AC9" i="19"/>
  <c r="AB9" i="19"/>
  <c r="AB8" i="19" s="1"/>
  <c r="AA9" i="19"/>
  <c r="AA8" i="19" s="1"/>
  <c r="Z9" i="19"/>
  <c r="Y9" i="19"/>
  <c r="X9" i="19"/>
  <c r="X8" i="19" s="1"/>
  <c r="W9" i="19"/>
  <c r="W8" i="19" s="1"/>
  <c r="V9" i="19"/>
  <c r="U9" i="19"/>
  <c r="T9" i="19"/>
  <c r="T8" i="19" s="1"/>
  <c r="S9" i="19"/>
  <c r="S8" i="19" s="1"/>
  <c r="R9" i="19"/>
  <c r="Q9" i="19"/>
  <c r="P9" i="19"/>
  <c r="D9" i="19" s="1"/>
  <c r="O9" i="19"/>
  <c r="O8" i="19" s="1"/>
  <c r="N9" i="19"/>
  <c r="M9" i="19"/>
  <c r="L9" i="19"/>
  <c r="L8" i="19" s="1"/>
  <c r="K9" i="19"/>
  <c r="G9" i="19" s="1"/>
  <c r="J9" i="19"/>
  <c r="AG8" i="19"/>
  <c r="AD8" i="19"/>
  <c r="Y8" i="19"/>
  <c r="V8" i="19"/>
  <c r="Q8" i="19"/>
  <c r="E75" i="4"/>
  <c r="I17" i="19" l="1"/>
  <c r="F9" i="19"/>
  <c r="H9" i="19"/>
  <c r="F11" i="19"/>
  <c r="M8" i="19"/>
  <c r="H18" i="19"/>
  <c r="G13" i="19"/>
  <c r="I14" i="19"/>
  <c r="E17" i="19"/>
  <c r="E16" i="19" s="1"/>
  <c r="P8" i="19"/>
  <c r="D10" i="19"/>
  <c r="N11" i="19"/>
  <c r="F17" i="19"/>
  <c r="F16" i="19" s="1"/>
  <c r="F20" i="19"/>
  <c r="E10" i="19"/>
  <c r="AF11" i="19"/>
  <c r="AF8" i="19" s="1"/>
  <c r="H17" i="19"/>
  <c r="F19" i="19"/>
  <c r="H20" i="19"/>
  <c r="K8" i="19"/>
  <c r="E9" i="19"/>
  <c r="G10" i="19"/>
  <c r="G16" i="19"/>
  <c r="E18" i="19"/>
  <c r="I18" i="19" s="1"/>
  <c r="I20" i="19"/>
  <c r="E23" i="19"/>
  <c r="I23" i="19" s="1"/>
  <c r="E42" i="4"/>
  <c r="E41" i="4"/>
  <c r="E29" i="4"/>
  <c r="E25" i="4"/>
  <c r="E24" i="4"/>
  <c r="I16" i="19" l="1"/>
  <c r="H16" i="19"/>
  <c r="I13" i="19"/>
  <c r="H13" i="19"/>
  <c r="I10" i="19"/>
  <c r="H10" i="19"/>
  <c r="F10" i="19"/>
  <c r="F8" i="19" s="1"/>
  <c r="G8" i="19"/>
  <c r="E8" i="19"/>
  <c r="I9" i="19"/>
  <c r="N8" i="19"/>
  <c r="D11" i="19"/>
  <c r="E11" i="19"/>
  <c r="I11" i="19" s="1"/>
  <c r="F18" i="19"/>
  <c r="E100" i="4"/>
  <c r="E98" i="4"/>
  <c r="O45" i="4"/>
  <c r="E46" i="4"/>
  <c r="E44" i="4"/>
  <c r="I8" i="19" l="1"/>
  <c r="H11" i="19"/>
  <c r="D8" i="19"/>
  <c r="H8" i="19" s="1"/>
  <c r="E89" i="4"/>
  <c r="E76" i="4"/>
  <c r="F16" i="8" l="1"/>
  <c r="E11" i="2"/>
  <c r="F44" i="6" l="1"/>
  <c r="E49" i="6"/>
  <c r="E45" i="6"/>
  <c r="E44" i="6"/>
  <c r="E35" i="6"/>
  <c r="E32" i="6"/>
  <c r="F32" i="6" s="1"/>
  <c r="E28" i="6"/>
  <c r="F28" i="6" s="1"/>
  <c r="E27" i="6"/>
  <c r="E24" i="6"/>
  <c r="F24" i="6" s="1"/>
  <c r="E23" i="6"/>
  <c r="E20" i="6"/>
  <c r="E19" i="6"/>
  <c r="N82" i="1" l="1"/>
  <c r="O82" i="1"/>
  <c r="X95" i="1"/>
  <c r="AB84" i="1"/>
  <c r="E84" i="1"/>
  <c r="T76" i="1"/>
  <c r="AF78" i="1"/>
  <c r="T66" i="1"/>
  <c r="N67" i="1"/>
  <c r="E67" i="1" s="1"/>
  <c r="T67" i="1"/>
  <c r="AF68" i="1"/>
  <c r="T68" i="1"/>
  <c r="N68" i="1"/>
  <c r="E68" i="1" s="1"/>
  <c r="X64" i="1"/>
  <c r="V62" i="1"/>
  <c r="N62" i="1"/>
  <c r="E62" i="1" l="1"/>
  <c r="E61" i="1" s="1"/>
  <c r="R43" i="1"/>
  <c r="G47" i="1"/>
  <c r="F47" i="1" s="1"/>
  <c r="J42" i="1"/>
  <c r="J39" i="1"/>
  <c r="D44" i="1"/>
  <c r="G44" i="1"/>
  <c r="E48" i="4"/>
  <c r="E49" i="4"/>
  <c r="E81" i="4"/>
  <c r="E13" i="12"/>
  <c r="E55" i="4"/>
  <c r="E59" i="16"/>
  <c r="E57" i="16"/>
  <c r="E55" i="16"/>
  <c r="F43" i="16"/>
  <c r="F42" i="16" s="1"/>
  <c r="E43" i="16"/>
  <c r="D18" i="1"/>
  <c r="J14" i="1"/>
  <c r="K14" i="1"/>
  <c r="L14" i="1"/>
  <c r="M14" i="1"/>
  <c r="N14" i="1"/>
  <c r="O14" i="1"/>
  <c r="P14" i="1"/>
  <c r="Q14" i="1"/>
  <c r="R14" i="1"/>
  <c r="S14" i="1"/>
  <c r="T14" i="1"/>
  <c r="U14" i="1"/>
  <c r="V14" i="1"/>
  <c r="W14" i="1"/>
  <c r="X14" i="1"/>
  <c r="Y14" i="1"/>
  <c r="Z14" i="1"/>
  <c r="AA14" i="1"/>
  <c r="AB14" i="1"/>
  <c r="AC14" i="1"/>
  <c r="AD14" i="1"/>
  <c r="AE14" i="1"/>
  <c r="AF14" i="1"/>
  <c r="AG14" i="1"/>
  <c r="D17" i="1"/>
  <c r="G17" i="1"/>
  <c r="H44" i="1" l="1"/>
  <c r="H17" i="1"/>
  <c r="F44" i="1"/>
  <c r="I44" i="1"/>
  <c r="F17" i="1"/>
  <c r="I17" i="1"/>
  <c r="O45" i="8"/>
  <c r="M45" i="8"/>
  <c r="O43" i="8"/>
  <c r="M43" i="8"/>
  <c r="AG38" i="4"/>
  <c r="AF38" i="4"/>
  <c r="AE38" i="4"/>
  <c r="AD38" i="4"/>
  <c r="AC38" i="4"/>
  <c r="AB38" i="4"/>
  <c r="AA38" i="4"/>
  <c r="Z38" i="4"/>
  <c r="Y38" i="4"/>
  <c r="X38" i="4"/>
  <c r="W38" i="4"/>
  <c r="V38" i="4"/>
  <c r="U38" i="4"/>
  <c r="T38" i="4"/>
  <c r="S38" i="4"/>
  <c r="R38" i="4"/>
  <c r="Q38" i="4"/>
  <c r="P38" i="4"/>
  <c r="N38" i="4"/>
  <c r="M38" i="4"/>
  <c r="L38" i="4"/>
  <c r="K38" i="4"/>
  <c r="J38" i="4"/>
  <c r="E66" i="4"/>
  <c r="E65" i="4" s="1"/>
  <c r="G66" i="4"/>
  <c r="D66" i="4"/>
  <c r="D65" i="4" s="1"/>
  <c r="AG65" i="4"/>
  <c r="AF65" i="4"/>
  <c r="AE65" i="4"/>
  <c r="AD65" i="4"/>
  <c r="AC65" i="4"/>
  <c r="AB65" i="4"/>
  <c r="AA65" i="4"/>
  <c r="Z65" i="4"/>
  <c r="Y65" i="4"/>
  <c r="X65" i="4"/>
  <c r="W65" i="4"/>
  <c r="V65" i="4"/>
  <c r="U65" i="4"/>
  <c r="T65" i="4"/>
  <c r="S65" i="4"/>
  <c r="R65" i="4"/>
  <c r="Q65" i="4"/>
  <c r="P65" i="4"/>
  <c r="O65" i="4"/>
  <c r="N65" i="4"/>
  <c r="M65" i="4"/>
  <c r="L65" i="4"/>
  <c r="K65" i="4"/>
  <c r="J65" i="4"/>
  <c r="G62" i="4"/>
  <c r="E62" i="4"/>
  <c r="E59" i="4"/>
  <c r="E60" i="4"/>
  <c r="F25" i="16"/>
  <c r="E25" i="16"/>
  <c r="E35" i="16"/>
  <c r="F35" i="16"/>
  <c r="E31" i="16"/>
  <c r="H66" i="4" l="1"/>
  <c r="I66" i="4"/>
  <c r="G65" i="4"/>
  <c r="F65" i="4" l="1"/>
  <c r="I65" i="4"/>
  <c r="H65" i="4"/>
  <c r="E15" i="12" l="1"/>
  <c r="E9" i="12"/>
  <c r="E12" i="12"/>
  <c r="E19" i="2"/>
  <c r="E9" i="15" l="1"/>
  <c r="AB21" i="3" l="1"/>
  <c r="AD21" i="3"/>
  <c r="E22" i="3"/>
  <c r="G16" i="3"/>
  <c r="E11" i="3"/>
  <c r="F16" i="3" l="1"/>
  <c r="F11" i="3" s="1"/>
  <c r="G11" i="3"/>
  <c r="G8" i="7"/>
  <c r="G9" i="7"/>
  <c r="G15" i="7"/>
  <c r="F12" i="7"/>
  <c r="E14" i="7"/>
  <c r="E9" i="7"/>
  <c r="J41" i="8" l="1"/>
  <c r="D49" i="8"/>
  <c r="N9" i="8" l="1"/>
  <c r="L9" i="8"/>
  <c r="M9" i="8"/>
  <c r="E56" i="16" l="1"/>
  <c r="E58" i="16"/>
  <c r="E12" i="16"/>
  <c r="J10" i="16"/>
  <c r="E30" i="16" l="1"/>
  <c r="G59" i="16"/>
  <c r="G58" i="16" s="1"/>
  <c r="M24" i="16"/>
  <c r="E22" i="16"/>
  <c r="E21" i="16" s="1"/>
  <c r="E19" i="16"/>
  <c r="E18" i="16" s="1"/>
  <c r="E17" i="16"/>
  <c r="E15" i="16"/>
  <c r="E14" i="16" s="1"/>
  <c r="E13" i="16"/>
  <c r="E44" i="16"/>
  <c r="G55" i="16"/>
  <c r="F55" i="16"/>
  <c r="D40" i="16"/>
  <c r="E41" i="16"/>
  <c r="M29" i="16"/>
  <c r="F59" i="16" l="1"/>
  <c r="D25" i="16"/>
  <c r="K16" i="13" l="1"/>
  <c r="L16" i="13"/>
  <c r="M16" i="13"/>
  <c r="N16" i="13"/>
  <c r="O16" i="13"/>
  <c r="P16" i="13"/>
  <c r="Q16" i="13"/>
  <c r="R16" i="13"/>
  <c r="S16" i="13"/>
  <c r="T16" i="13"/>
  <c r="U16" i="13"/>
  <c r="V16" i="13"/>
  <c r="W16" i="13"/>
  <c r="X16" i="13"/>
  <c r="Y16" i="13"/>
  <c r="Z16" i="13"/>
  <c r="AA16" i="13"/>
  <c r="AB16" i="13"/>
  <c r="AC16" i="13"/>
  <c r="AD16" i="13"/>
  <c r="AE16" i="13"/>
  <c r="AF16" i="13"/>
  <c r="AG16" i="13"/>
  <c r="J16" i="13"/>
  <c r="J15" i="6" l="1"/>
  <c r="E41" i="6"/>
  <c r="E40" i="6"/>
  <c r="F40" i="6"/>
  <c r="D45" i="6"/>
  <c r="D28" i="6"/>
  <c r="D27" i="6"/>
  <c r="D24" i="6"/>
  <c r="D23" i="6"/>
  <c r="D20" i="6"/>
  <c r="D19" i="6"/>
  <c r="E15" i="6" l="1"/>
  <c r="E16" i="6"/>
  <c r="E11" i="6" s="1"/>
  <c r="E29" i="10"/>
  <c r="G29" i="10"/>
  <c r="F29" i="10"/>
  <c r="F28" i="10"/>
  <c r="E10" i="6" l="1"/>
  <c r="E8" i="6" s="1"/>
  <c r="G22" i="20"/>
  <c r="F22" i="20" l="1"/>
  <c r="M73" i="5"/>
  <c r="L95" i="1" l="1"/>
  <c r="E95" i="1" s="1"/>
  <c r="N86" i="1"/>
  <c r="R82" i="1"/>
  <c r="L82" i="1"/>
  <c r="P43" i="1" l="1"/>
  <c r="L43" i="1"/>
  <c r="E43" i="1" s="1"/>
  <c r="E42" i="1" s="1"/>
  <c r="AF45" i="1"/>
  <c r="AF9" i="17" l="1"/>
  <c r="AD9" i="17"/>
  <c r="D9" i="17"/>
  <c r="D15" i="17"/>
  <c r="K15" i="17"/>
  <c r="L15" i="17"/>
  <c r="M15" i="17"/>
  <c r="N15" i="17"/>
  <c r="O15" i="17"/>
  <c r="P15" i="17"/>
  <c r="Q15" i="17"/>
  <c r="R15" i="17"/>
  <c r="S15" i="17"/>
  <c r="T15" i="17"/>
  <c r="U15" i="17"/>
  <c r="V15" i="17"/>
  <c r="W15" i="17"/>
  <c r="X15" i="17"/>
  <c r="Y15" i="17"/>
  <c r="Z15" i="17"/>
  <c r="AA15" i="17"/>
  <c r="AB15" i="17"/>
  <c r="AC15" i="17"/>
  <c r="AD15" i="17"/>
  <c r="AE15" i="17"/>
  <c r="AF15" i="17"/>
  <c r="AG15" i="17"/>
  <c r="J15" i="17"/>
  <c r="D17" i="17"/>
  <c r="D16" i="17"/>
  <c r="AF8" i="17"/>
  <c r="K12" i="17"/>
  <c r="L12" i="17"/>
  <c r="M12" i="17"/>
  <c r="N12" i="17"/>
  <c r="O12" i="17"/>
  <c r="P12" i="17"/>
  <c r="Q12" i="17"/>
  <c r="R12" i="17"/>
  <c r="S12" i="17"/>
  <c r="T12" i="17"/>
  <c r="U12" i="17"/>
  <c r="V12" i="17"/>
  <c r="W12" i="17"/>
  <c r="X12" i="17"/>
  <c r="Y12" i="17"/>
  <c r="Z12" i="17"/>
  <c r="AA12" i="17"/>
  <c r="AB12" i="17"/>
  <c r="AC12" i="17"/>
  <c r="AD12" i="17"/>
  <c r="AE12" i="17"/>
  <c r="AF12" i="17"/>
  <c r="AG12" i="17"/>
  <c r="J12" i="17"/>
  <c r="K14" i="17"/>
  <c r="L14" i="17"/>
  <c r="M14" i="17"/>
  <c r="N14" i="17"/>
  <c r="O14" i="17"/>
  <c r="P14" i="17"/>
  <c r="Q14" i="17"/>
  <c r="R14" i="17"/>
  <c r="S14" i="17"/>
  <c r="T14" i="17"/>
  <c r="U14" i="17"/>
  <c r="V14" i="17"/>
  <c r="W14" i="17"/>
  <c r="X14" i="17"/>
  <c r="Y14" i="17"/>
  <c r="Z14" i="17"/>
  <c r="AA14" i="17"/>
  <c r="AB14" i="17"/>
  <c r="AC14" i="17"/>
  <c r="AD14" i="17"/>
  <c r="AE14" i="17"/>
  <c r="AF14" i="17"/>
  <c r="AG14" i="17"/>
  <c r="J14" i="17"/>
  <c r="J13" i="17"/>
  <c r="D12" i="17"/>
  <c r="D14" i="17"/>
  <c r="H33" i="17" l="1"/>
  <c r="G33" i="17"/>
  <c r="I33" i="17" s="1"/>
  <c r="F33" i="17"/>
  <c r="E33" i="17"/>
  <c r="D33" i="17"/>
  <c r="D32" i="17" s="1"/>
  <c r="AG32" i="17"/>
  <c r="AF32" i="17"/>
  <c r="AE32" i="17"/>
  <c r="AD32" i="17"/>
  <c r="AC32" i="17"/>
  <c r="AB32" i="17"/>
  <c r="AA32" i="17"/>
  <c r="Z32" i="17"/>
  <c r="Y32" i="17"/>
  <c r="X32" i="17"/>
  <c r="W32" i="17"/>
  <c r="V32" i="17"/>
  <c r="U32" i="17"/>
  <c r="T32" i="17"/>
  <c r="S32" i="17"/>
  <c r="R32" i="17"/>
  <c r="Q32" i="17"/>
  <c r="P32" i="17"/>
  <c r="O32" i="17"/>
  <c r="N32" i="17"/>
  <c r="M32" i="17"/>
  <c r="L32" i="17"/>
  <c r="K32" i="17"/>
  <c r="J32" i="17"/>
  <c r="F32" i="17"/>
  <c r="E32" i="17"/>
  <c r="G31" i="17"/>
  <c r="I31" i="17" s="1"/>
  <c r="F31" i="17"/>
  <c r="E31" i="17"/>
  <c r="D31" i="17"/>
  <c r="H31" i="17" s="1"/>
  <c r="AG30" i="17"/>
  <c r="AF30" i="17"/>
  <c r="AE30" i="17"/>
  <c r="AD30" i="17"/>
  <c r="AC30" i="17"/>
  <c r="AB30" i="17"/>
  <c r="AA30" i="17"/>
  <c r="Z30" i="17"/>
  <c r="Y30" i="17"/>
  <c r="X30" i="17"/>
  <c r="W30" i="17"/>
  <c r="V30" i="17"/>
  <c r="U30" i="17"/>
  <c r="T30" i="17"/>
  <c r="S30" i="17"/>
  <c r="R30" i="17"/>
  <c r="Q30" i="17"/>
  <c r="P30" i="17"/>
  <c r="O30" i="17"/>
  <c r="N30" i="17"/>
  <c r="M30" i="17"/>
  <c r="L30" i="17"/>
  <c r="K30" i="17"/>
  <c r="J30" i="17"/>
  <c r="F30" i="17"/>
  <c r="E30" i="17"/>
  <c r="G29" i="17"/>
  <c r="I29" i="17" s="1"/>
  <c r="F29" i="17"/>
  <c r="E29" i="17"/>
  <c r="D29" i="17"/>
  <c r="H29" i="17" s="1"/>
  <c r="AG28" i="17"/>
  <c r="AF28" i="17"/>
  <c r="AE28" i="17"/>
  <c r="AD28" i="17"/>
  <c r="AC28" i="17"/>
  <c r="AB28" i="17"/>
  <c r="AA28" i="17"/>
  <c r="Z28" i="17"/>
  <c r="Y28" i="17"/>
  <c r="X28" i="17"/>
  <c r="W28" i="17"/>
  <c r="V28" i="17"/>
  <c r="U28" i="17"/>
  <c r="T28" i="17"/>
  <c r="S28" i="17"/>
  <c r="R28" i="17"/>
  <c r="Q28" i="17"/>
  <c r="P28" i="17"/>
  <c r="O28" i="17"/>
  <c r="N28" i="17"/>
  <c r="M28" i="17"/>
  <c r="L28" i="17"/>
  <c r="K28" i="17"/>
  <c r="J28" i="17"/>
  <c r="F28" i="17"/>
  <c r="E28" i="17"/>
  <c r="G27" i="17"/>
  <c r="I27" i="17" s="1"/>
  <c r="F27" i="17"/>
  <c r="E27" i="17"/>
  <c r="D27" i="17"/>
  <c r="H27" i="17" s="1"/>
  <c r="AG26" i="17"/>
  <c r="AF26" i="17"/>
  <c r="AE26" i="17"/>
  <c r="AD26" i="17"/>
  <c r="AC26" i="17"/>
  <c r="AB26" i="17"/>
  <c r="AA26" i="17"/>
  <c r="Z26" i="17"/>
  <c r="Y26" i="17"/>
  <c r="X26" i="17"/>
  <c r="W26" i="17"/>
  <c r="V26" i="17"/>
  <c r="U26" i="17"/>
  <c r="T26" i="17"/>
  <c r="S26" i="17"/>
  <c r="R26" i="17"/>
  <c r="Q26" i="17"/>
  <c r="P26" i="17"/>
  <c r="O26" i="17"/>
  <c r="N26" i="17"/>
  <c r="M26" i="17"/>
  <c r="L26" i="17"/>
  <c r="K26" i="17"/>
  <c r="J26" i="17"/>
  <c r="F26" i="17"/>
  <c r="E26" i="17"/>
  <c r="AG25" i="17"/>
  <c r="AF25" i="17"/>
  <c r="AF24" i="17" s="1"/>
  <c r="AE25" i="17"/>
  <c r="AE24" i="17" s="1"/>
  <c r="AD25" i="17"/>
  <c r="AC25" i="17"/>
  <c r="AB25" i="17"/>
  <c r="AB24" i="17" s="1"/>
  <c r="AA25" i="17"/>
  <c r="AA24" i="17" s="1"/>
  <c r="Z25" i="17"/>
  <c r="Y25" i="17"/>
  <c r="X25" i="17"/>
  <c r="X24" i="17" s="1"/>
  <c r="W25" i="17"/>
  <c r="W24" i="17" s="1"/>
  <c r="W9" i="17" s="1"/>
  <c r="W8" i="17" s="1"/>
  <c r="V25" i="17"/>
  <c r="U25" i="17"/>
  <c r="T25" i="17"/>
  <c r="T24" i="17" s="1"/>
  <c r="S25" i="17"/>
  <c r="S24" i="17" s="1"/>
  <c r="S9" i="17" s="1"/>
  <c r="S8" i="17" s="1"/>
  <c r="R25" i="17"/>
  <c r="Q25" i="17"/>
  <c r="P25" i="17"/>
  <c r="P24" i="17" s="1"/>
  <c r="O25" i="17"/>
  <c r="O24" i="17" s="1"/>
  <c r="O9" i="17" s="1"/>
  <c r="O8" i="17" s="1"/>
  <c r="N25" i="17"/>
  <c r="M25" i="17"/>
  <c r="L25" i="17"/>
  <c r="L24" i="17" s="1"/>
  <c r="K25" i="17"/>
  <c r="K24" i="17" s="1"/>
  <c r="K9" i="17" s="1"/>
  <c r="K8" i="17" s="1"/>
  <c r="J25" i="17"/>
  <c r="E25" i="17" s="1"/>
  <c r="E24" i="17" s="1"/>
  <c r="G25" i="17"/>
  <c r="I25" i="17" s="1"/>
  <c r="F25" i="17"/>
  <c r="D25" i="17"/>
  <c r="H25" i="17" s="1"/>
  <c r="AG24" i="17"/>
  <c r="AD24" i="17"/>
  <c r="AC24" i="17"/>
  <c r="Z24" i="17"/>
  <c r="Y24" i="17"/>
  <c r="V24" i="17"/>
  <c r="U24" i="17"/>
  <c r="R24" i="17"/>
  <c r="Q24" i="17"/>
  <c r="N24" i="17"/>
  <c r="M24" i="17"/>
  <c r="J24" i="17"/>
  <c r="D24" i="17" s="1"/>
  <c r="F24" i="17"/>
  <c r="G22" i="17"/>
  <c r="I22" i="17" s="1"/>
  <c r="F22" i="17"/>
  <c r="E22" i="17"/>
  <c r="D22" i="17"/>
  <c r="H22" i="17" s="1"/>
  <c r="AG21" i="17"/>
  <c r="AF21" i="17"/>
  <c r="AE21" i="17"/>
  <c r="AD21" i="17"/>
  <c r="AC21" i="17"/>
  <c r="AB21" i="17"/>
  <c r="AA21" i="17"/>
  <c r="Z21" i="17"/>
  <c r="Y21" i="17"/>
  <c r="X21" i="17"/>
  <c r="W21" i="17"/>
  <c r="V21" i="17"/>
  <c r="U21" i="17"/>
  <c r="T21" i="17"/>
  <c r="S21" i="17"/>
  <c r="R21" i="17"/>
  <c r="Q21" i="17"/>
  <c r="P21" i="17"/>
  <c r="O21" i="17"/>
  <c r="N21" i="17"/>
  <c r="M21" i="17"/>
  <c r="L21" i="17"/>
  <c r="K21" i="17"/>
  <c r="J21" i="17"/>
  <c r="F21" i="17"/>
  <c r="E21" i="17"/>
  <c r="AG20" i="17"/>
  <c r="AF20" i="17"/>
  <c r="AF19" i="17" s="1"/>
  <c r="AE20" i="17"/>
  <c r="AE19" i="17" s="1"/>
  <c r="AD20" i="17"/>
  <c r="AC20" i="17"/>
  <c r="AB20" i="17"/>
  <c r="AB19" i="17" s="1"/>
  <c r="AA20" i="17"/>
  <c r="AA19" i="17" s="1"/>
  <c r="Z20" i="17"/>
  <c r="Y20" i="17"/>
  <c r="X20" i="17"/>
  <c r="X19" i="17" s="1"/>
  <c r="W20" i="17"/>
  <c r="V20" i="17"/>
  <c r="U20" i="17"/>
  <c r="T20" i="17"/>
  <c r="T19" i="17" s="1"/>
  <c r="S20" i="17"/>
  <c r="R20" i="17"/>
  <c r="Q20" i="17"/>
  <c r="P20" i="17"/>
  <c r="P19" i="17" s="1"/>
  <c r="O20" i="17"/>
  <c r="N20" i="17"/>
  <c r="M20" i="17"/>
  <c r="L20" i="17"/>
  <c r="L19" i="17" s="1"/>
  <c r="K20" i="17"/>
  <c r="J20" i="17"/>
  <c r="E20" i="17" s="1"/>
  <c r="E19" i="17" s="1"/>
  <c r="G20" i="17"/>
  <c r="I20" i="17" s="1"/>
  <c r="F20" i="17"/>
  <c r="D20" i="17"/>
  <c r="H20" i="17" s="1"/>
  <c r="AG19" i="17"/>
  <c r="AD19" i="17"/>
  <c r="AC19" i="17"/>
  <c r="Z19" i="17"/>
  <c r="Y19" i="17"/>
  <c r="W19" i="17"/>
  <c r="V19" i="17"/>
  <c r="U19" i="17"/>
  <c r="S19" i="17"/>
  <c r="R19" i="17"/>
  <c r="Q19" i="17"/>
  <c r="O19" i="17"/>
  <c r="N19" i="17"/>
  <c r="M19" i="17"/>
  <c r="K19" i="17"/>
  <c r="J19" i="17"/>
  <c r="D19" i="17" s="1"/>
  <c r="F19" i="17"/>
  <c r="G17" i="17"/>
  <c r="I17" i="17" s="1"/>
  <c r="F17" i="17"/>
  <c r="E17" i="17"/>
  <c r="H17" i="17"/>
  <c r="G16" i="17"/>
  <c r="I16" i="17" s="1"/>
  <c r="F16" i="17"/>
  <c r="F15" i="17" s="1"/>
  <c r="E16" i="17"/>
  <c r="H16" i="17"/>
  <c r="G15" i="17"/>
  <c r="I15" i="17" s="1"/>
  <c r="E15" i="17"/>
  <c r="G14" i="17"/>
  <c r="H14" i="17" s="1"/>
  <c r="F14" i="17"/>
  <c r="E14" i="17"/>
  <c r="AG13" i="17"/>
  <c r="AF13" i="17"/>
  <c r="AE13" i="17"/>
  <c r="AD13" i="17"/>
  <c r="AC13" i="17"/>
  <c r="AB13" i="17"/>
  <c r="AB9" i="17" s="1"/>
  <c r="AB8" i="17" s="1"/>
  <c r="AA13" i="17"/>
  <c r="Z13" i="17"/>
  <c r="Y13" i="17"/>
  <c r="X13" i="17"/>
  <c r="X9" i="17" s="1"/>
  <c r="X8" i="17" s="1"/>
  <c r="W13" i="17"/>
  <c r="V13" i="17"/>
  <c r="U13" i="17"/>
  <c r="T13" i="17"/>
  <c r="T9" i="17" s="1"/>
  <c r="T8" i="17" s="1"/>
  <c r="S13" i="17"/>
  <c r="R13" i="17"/>
  <c r="Q13" i="17"/>
  <c r="P13" i="17"/>
  <c r="P9" i="17" s="1"/>
  <c r="P8" i="17" s="1"/>
  <c r="O13" i="17"/>
  <c r="N13" i="17"/>
  <c r="M13" i="17"/>
  <c r="L13" i="17"/>
  <c r="L9" i="17" s="1"/>
  <c r="L8" i="17" s="1"/>
  <c r="K13" i="17"/>
  <c r="E13" i="17"/>
  <c r="E12" i="17" s="1"/>
  <c r="I12" i="17" s="1"/>
  <c r="G13" i="17"/>
  <c r="I13" i="17" s="1"/>
  <c r="F13" i="17"/>
  <c r="D13" i="17"/>
  <c r="H13" i="17" s="1"/>
  <c r="H12" i="17"/>
  <c r="G12" i="17"/>
  <c r="F12" i="17"/>
  <c r="AG10" i="17"/>
  <c r="AF10" i="17"/>
  <c r="AE10" i="17"/>
  <c r="AD10" i="17"/>
  <c r="AC10" i="17"/>
  <c r="AB10" i="17"/>
  <c r="AA10" i="17"/>
  <c r="Z10" i="17"/>
  <c r="Y10" i="17"/>
  <c r="X10" i="17"/>
  <c r="W10" i="17"/>
  <c r="V10" i="17"/>
  <c r="U10" i="17"/>
  <c r="T10" i="17"/>
  <c r="S10" i="17"/>
  <c r="R10" i="17"/>
  <c r="Q10" i="17"/>
  <c r="P10" i="17"/>
  <c r="O10" i="17"/>
  <c r="N10" i="17"/>
  <c r="M10" i="17"/>
  <c r="L10" i="17"/>
  <c r="K10" i="17"/>
  <c r="J10" i="17"/>
  <c r="E10" i="17" s="1"/>
  <c r="G10" i="17"/>
  <c r="F10" i="17"/>
  <c r="D10" i="17"/>
  <c r="H10" i="17" s="1"/>
  <c r="AG9" i="17"/>
  <c r="AD8" i="17"/>
  <c r="AC9" i="17"/>
  <c r="AC8" i="17" s="1"/>
  <c r="Z9" i="17"/>
  <c r="Z8" i="17" s="1"/>
  <c r="Y9" i="17"/>
  <c r="V9" i="17"/>
  <c r="V8" i="17" s="1"/>
  <c r="U9" i="17"/>
  <c r="U8" i="17" s="1"/>
  <c r="R9" i="17"/>
  <c r="R8" i="17" s="1"/>
  <c r="Q9" i="17"/>
  <c r="N9" i="17"/>
  <c r="N8" i="17" s="1"/>
  <c r="M9" i="17"/>
  <c r="M8" i="17" s="1"/>
  <c r="J9" i="17"/>
  <c r="G9" i="17"/>
  <c r="F9" i="17"/>
  <c r="F8" i="17" s="1"/>
  <c r="AG8" i="17"/>
  <c r="Y8" i="17"/>
  <c r="Q8" i="17"/>
  <c r="G8" i="17"/>
  <c r="E9" i="17" l="1"/>
  <c r="I9" i="17" s="1"/>
  <c r="I14" i="17"/>
  <c r="E8" i="17"/>
  <c r="I8" i="17" s="1"/>
  <c r="AE9" i="17"/>
  <c r="AE8" i="17" s="1"/>
  <c r="AA9" i="17"/>
  <c r="AA8" i="17" s="1"/>
  <c r="I10" i="17"/>
  <c r="H9" i="17"/>
  <c r="D21" i="17"/>
  <c r="D26" i="17"/>
  <c r="D28" i="17"/>
  <c r="D30" i="17"/>
  <c r="H15" i="17"/>
  <c r="J8" i="17"/>
  <c r="D8" i="17" s="1"/>
  <c r="H8" i="17" s="1"/>
  <c r="G19" i="17"/>
  <c r="G21" i="17"/>
  <c r="G24" i="17"/>
  <c r="G26" i="17"/>
  <c r="G28" i="17"/>
  <c r="G30" i="17"/>
  <c r="G32" i="17"/>
  <c r="I32" i="17" l="1"/>
  <c r="H32" i="17"/>
  <c r="I24" i="17"/>
  <c r="H24" i="17"/>
  <c r="I30" i="17"/>
  <c r="H30" i="17"/>
  <c r="I21" i="17"/>
  <c r="H21" i="17"/>
  <c r="I28" i="17"/>
  <c r="H28" i="17"/>
  <c r="I19" i="17"/>
  <c r="H19" i="17"/>
  <c r="I26" i="17"/>
  <c r="H26" i="17"/>
  <c r="G43" i="1" l="1"/>
  <c r="F43" i="1" s="1"/>
  <c r="J21" i="1"/>
  <c r="K18" i="10" l="1"/>
  <c r="I59" i="16" l="1"/>
  <c r="D59" i="16"/>
  <c r="D58" i="16" s="1"/>
  <c r="AG58" i="16"/>
  <c r="AF58" i="16"/>
  <c r="AE58" i="16"/>
  <c r="AD58" i="16"/>
  <c r="AC58" i="16"/>
  <c r="AB58" i="16"/>
  <c r="AA58" i="16"/>
  <c r="Z58" i="16"/>
  <c r="Y58" i="16"/>
  <c r="X58" i="16"/>
  <c r="W58" i="16"/>
  <c r="V58" i="16"/>
  <c r="U58" i="16"/>
  <c r="T58" i="16"/>
  <c r="S58" i="16"/>
  <c r="R58" i="16"/>
  <c r="Q58" i="16"/>
  <c r="P58" i="16"/>
  <c r="N58" i="16"/>
  <c r="M58" i="16"/>
  <c r="L58" i="16"/>
  <c r="K58" i="16"/>
  <c r="J58" i="16"/>
  <c r="G57" i="16"/>
  <c r="G56" i="16" s="1"/>
  <c r="D57" i="16"/>
  <c r="D56" i="16" s="1"/>
  <c r="AG56" i="16"/>
  <c r="AF56" i="16"/>
  <c r="AE56" i="16"/>
  <c r="AD56" i="16"/>
  <c r="AC56" i="16"/>
  <c r="AB56" i="16"/>
  <c r="AA56" i="16"/>
  <c r="Z56" i="16"/>
  <c r="Y56" i="16"/>
  <c r="X56" i="16"/>
  <c r="W56" i="16"/>
  <c r="V56" i="16"/>
  <c r="U56" i="16"/>
  <c r="T56" i="16"/>
  <c r="S56" i="16"/>
  <c r="R56" i="16"/>
  <c r="Q56" i="16"/>
  <c r="P56" i="16"/>
  <c r="O56" i="16"/>
  <c r="N56" i="16"/>
  <c r="M56" i="16"/>
  <c r="L56" i="16"/>
  <c r="J56" i="16"/>
  <c r="E54" i="16"/>
  <c r="D55" i="16"/>
  <c r="D54" i="16" s="1"/>
  <c r="AG54" i="16"/>
  <c r="AF54" i="16"/>
  <c r="AE54" i="16"/>
  <c r="AD54" i="16"/>
  <c r="AC54" i="16"/>
  <c r="AB54" i="16"/>
  <c r="AA54" i="16"/>
  <c r="Z54" i="16"/>
  <c r="Y54" i="16"/>
  <c r="X54" i="16"/>
  <c r="W54" i="16"/>
  <c r="V54" i="16"/>
  <c r="U54" i="16"/>
  <c r="T54" i="16"/>
  <c r="S54" i="16"/>
  <c r="R54" i="16"/>
  <c r="Q54" i="16"/>
  <c r="P54" i="16"/>
  <c r="O54" i="16"/>
  <c r="N54" i="16"/>
  <c r="M54" i="16"/>
  <c r="L54" i="16"/>
  <c r="K54" i="16"/>
  <c r="J54" i="16"/>
  <c r="AG53" i="16"/>
  <c r="AF53" i="16"/>
  <c r="AE53" i="16"/>
  <c r="AD53" i="16"/>
  <c r="AC53" i="16"/>
  <c r="AB53" i="16"/>
  <c r="AA53" i="16"/>
  <c r="AA52" i="16" s="1"/>
  <c r="Z53" i="16"/>
  <c r="Z52" i="16" s="1"/>
  <c r="Y53" i="16"/>
  <c r="Y52" i="16" s="1"/>
  <c r="X53" i="16"/>
  <c r="X52" i="16" s="1"/>
  <c r="W53" i="16"/>
  <c r="W52" i="16" s="1"/>
  <c r="V53" i="16"/>
  <c r="V52" i="16" s="1"/>
  <c r="U53" i="16"/>
  <c r="U52" i="16" s="1"/>
  <c r="T53" i="16"/>
  <c r="T52" i="16" s="1"/>
  <c r="S53" i="16"/>
  <c r="S52" i="16" s="1"/>
  <c r="R53" i="16"/>
  <c r="R52" i="16" s="1"/>
  <c r="Q53" i="16"/>
  <c r="Q52" i="16" s="1"/>
  <c r="P53" i="16"/>
  <c r="P52" i="16" s="1"/>
  <c r="O53" i="16"/>
  <c r="O52" i="16" s="1"/>
  <c r="N53" i="16"/>
  <c r="N52" i="16" s="1"/>
  <c r="M53" i="16"/>
  <c r="M52" i="16" s="1"/>
  <c r="L53" i="16"/>
  <c r="L52" i="16" s="1"/>
  <c r="K53" i="16"/>
  <c r="J53" i="16"/>
  <c r="AG52" i="16"/>
  <c r="AF52" i="16"/>
  <c r="AE52" i="16"/>
  <c r="AD52" i="16"/>
  <c r="AC52" i="16"/>
  <c r="AB52" i="16"/>
  <c r="G50" i="16"/>
  <c r="E50" i="16"/>
  <c r="E49" i="16" s="1"/>
  <c r="D50" i="16"/>
  <c r="D49" i="16" s="1"/>
  <c r="AG49" i="16"/>
  <c r="AF49" i="16"/>
  <c r="AE49" i="16"/>
  <c r="AD49" i="16"/>
  <c r="AC49" i="16"/>
  <c r="AB49" i="16"/>
  <c r="AA49" i="16"/>
  <c r="Z49" i="16"/>
  <c r="Y49" i="16"/>
  <c r="X49" i="16"/>
  <c r="W49" i="16"/>
  <c r="V49" i="16"/>
  <c r="U49" i="16"/>
  <c r="T49" i="16"/>
  <c r="S49" i="16"/>
  <c r="R49" i="16"/>
  <c r="Q49" i="16"/>
  <c r="P49" i="16"/>
  <c r="O49" i="16"/>
  <c r="N49" i="16"/>
  <c r="M49" i="16"/>
  <c r="L49" i="16"/>
  <c r="K49" i="16"/>
  <c r="J49" i="16"/>
  <c r="G48" i="16"/>
  <c r="E48" i="16"/>
  <c r="E47" i="16" s="1"/>
  <c r="D48" i="16"/>
  <c r="D47" i="16" s="1"/>
  <c r="AG47" i="16"/>
  <c r="AF47" i="16"/>
  <c r="AE47" i="16"/>
  <c r="AD47" i="16"/>
  <c r="AC47" i="16"/>
  <c r="AB47" i="16"/>
  <c r="AA47" i="16"/>
  <c r="Z47" i="16"/>
  <c r="Y47" i="16"/>
  <c r="X47" i="16"/>
  <c r="W47" i="16"/>
  <c r="V47" i="16"/>
  <c r="U47" i="16"/>
  <c r="T47" i="16"/>
  <c r="S47" i="16"/>
  <c r="R47" i="16"/>
  <c r="Q47" i="16"/>
  <c r="P47" i="16"/>
  <c r="O47" i="16"/>
  <c r="N47" i="16"/>
  <c r="M47" i="16"/>
  <c r="L47" i="16"/>
  <c r="K47" i="16"/>
  <c r="J47" i="16"/>
  <c r="AG46" i="16"/>
  <c r="AG45" i="16" s="1"/>
  <c r="AF46" i="16"/>
  <c r="AE46" i="16"/>
  <c r="AE45" i="16" s="1"/>
  <c r="AD46" i="16"/>
  <c r="AD45" i="16" s="1"/>
  <c r="AC46" i="16"/>
  <c r="AC45" i="16" s="1"/>
  <c r="AB46" i="16"/>
  <c r="AB45" i="16" s="1"/>
  <c r="AA46" i="16"/>
  <c r="AA45" i="16" s="1"/>
  <c r="Z46" i="16"/>
  <c r="Z45" i="16" s="1"/>
  <c r="Y46" i="16"/>
  <c r="Y45" i="16" s="1"/>
  <c r="X46" i="16"/>
  <c r="X45" i="16" s="1"/>
  <c r="W46" i="16"/>
  <c r="W45" i="16" s="1"/>
  <c r="V46" i="16"/>
  <c r="V45" i="16" s="1"/>
  <c r="U46" i="16"/>
  <c r="U45" i="16" s="1"/>
  <c r="T46" i="16"/>
  <c r="T45" i="16" s="1"/>
  <c r="S46" i="16"/>
  <c r="S45" i="16" s="1"/>
  <c r="R46" i="16"/>
  <c r="R45" i="16" s="1"/>
  <c r="Q46" i="16"/>
  <c r="Q45" i="16" s="1"/>
  <c r="P46" i="16"/>
  <c r="O46" i="16"/>
  <c r="O45" i="16" s="1"/>
  <c r="N46" i="16"/>
  <c r="N45" i="16" s="1"/>
  <c r="M46" i="16"/>
  <c r="M45" i="16" s="1"/>
  <c r="L46" i="16"/>
  <c r="L45" i="16" s="1"/>
  <c r="K46" i="16"/>
  <c r="K45" i="16" s="1"/>
  <c r="J46" i="16"/>
  <c r="E46" i="16" s="1"/>
  <c r="E45" i="16" s="1"/>
  <c r="AF45" i="16"/>
  <c r="P45" i="16"/>
  <c r="G44" i="16"/>
  <c r="G43" i="16"/>
  <c r="D43" i="16"/>
  <c r="AG42" i="16"/>
  <c r="AF42" i="16"/>
  <c r="AE42" i="16"/>
  <c r="AD42" i="16"/>
  <c r="AC42" i="16"/>
  <c r="AB42" i="16"/>
  <c r="AA42" i="16"/>
  <c r="Z42" i="16"/>
  <c r="Y42" i="16"/>
  <c r="X42" i="16"/>
  <c r="W42" i="16"/>
  <c r="V42" i="16"/>
  <c r="U42" i="16"/>
  <c r="T42" i="16"/>
  <c r="S42" i="16"/>
  <c r="R42" i="16"/>
  <c r="Q42" i="16"/>
  <c r="P42" i="16"/>
  <c r="O42" i="16"/>
  <c r="N42" i="16"/>
  <c r="M42" i="16"/>
  <c r="L42" i="16"/>
  <c r="K42" i="16"/>
  <c r="J42" i="16"/>
  <c r="G41" i="16"/>
  <c r="E40" i="16"/>
  <c r="D41" i="16"/>
  <c r="AG40" i="16"/>
  <c r="AF40" i="16"/>
  <c r="AE40" i="16"/>
  <c r="AD40" i="16"/>
  <c r="AC40" i="16"/>
  <c r="AB40" i="16"/>
  <c r="AA40" i="16"/>
  <c r="Z40" i="16"/>
  <c r="Y40" i="16"/>
  <c r="X40" i="16"/>
  <c r="W40" i="16"/>
  <c r="V40" i="16"/>
  <c r="U40" i="16"/>
  <c r="T40" i="16"/>
  <c r="S40" i="16"/>
  <c r="R40" i="16"/>
  <c r="Q40" i="16"/>
  <c r="P40" i="16"/>
  <c r="O40" i="16"/>
  <c r="N40" i="16"/>
  <c r="M40" i="16"/>
  <c r="L40" i="16"/>
  <c r="J40" i="16"/>
  <c r="G39" i="16"/>
  <c r="E39" i="16"/>
  <c r="E38" i="16" s="1"/>
  <c r="D39" i="16"/>
  <c r="D38" i="16" s="1"/>
  <c r="AG38" i="16"/>
  <c r="AF38" i="16"/>
  <c r="AE38" i="16"/>
  <c r="AD38" i="16"/>
  <c r="AC38" i="16"/>
  <c r="AB38" i="16"/>
  <c r="AA38" i="16"/>
  <c r="Z38" i="16"/>
  <c r="Y38" i="16"/>
  <c r="X38" i="16"/>
  <c r="W38" i="16"/>
  <c r="V38" i="16"/>
  <c r="U38" i="16"/>
  <c r="T38" i="16"/>
  <c r="S38" i="16"/>
  <c r="R38" i="16"/>
  <c r="Q38" i="16"/>
  <c r="P38" i="16"/>
  <c r="O38" i="16"/>
  <c r="N38" i="16"/>
  <c r="M38" i="16"/>
  <c r="L38" i="16"/>
  <c r="K38" i="16"/>
  <c r="J38" i="16"/>
  <c r="G37" i="16"/>
  <c r="E37" i="16"/>
  <c r="E36" i="16" s="1"/>
  <c r="D37" i="16"/>
  <c r="D36" i="16" s="1"/>
  <c r="AG36" i="16"/>
  <c r="AF36" i="16"/>
  <c r="AE36" i="16"/>
  <c r="AD36" i="16"/>
  <c r="AC36" i="16"/>
  <c r="AB36" i="16"/>
  <c r="AA36" i="16"/>
  <c r="Z36" i="16"/>
  <c r="Y36" i="16"/>
  <c r="X36" i="16"/>
  <c r="W36" i="16"/>
  <c r="V36" i="16"/>
  <c r="U36" i="16"/>
  <c r="T36" i="16"/>
  <c r="S36" i="16"/>
  <c r="R36" i="16"/>
  <c r="Q36" i="16"/>
  <c r="P36" i="16"/>
  <c r="O36" i="16"/>
  <c r="N36" i="16"/>
  <c r="M36" i="16"/>
  <c r="L36" i="16"/>
  <c r="K36" i="16"/>
  <c r="J36" i="16"/>
  <c r="G35" i="16"/>
  <c r="E34" i="16"/>
  <c r="D35" i="16"/>
  <c r="D34" i="16" s="1"/>
  <c r="AG34" i="16"/>
  <c r="AF34" i="16"/>
  <c r="AE34" i="16"/>
  <c r="AD34" i="16"/>
  <c r="AC34" i="16"/>
  <c r="AB34" i="16"/>
  <c r="AA34" i="16"/>
  <c r="Z34" i="16"/>
  <c r="Y34" i="16"/>
  <c r="X34" i="16"/>
  <c r="W34" i="16"/>
  <c r="V34" i="16"/>
  <c r="U34" i="16"/>
  <c r="T34" i="16"/>
  <c r="S34" i="16"/>
  <c r="R34" i="16"/>
  <c r="Q34" i="16"/>
  <c r="P34" i="16"/>
  <c r="O34" i="16"/>
  <c r="N34" i="16"/>
  <c r="M34" i="16"/>
  <c r="L34" i="16"/>
  <c r="K34" i="16"/>
  <c r="J34" i="16"/>
  <c r="AG33" i="16"/>
  <c r="AG32" i="16" s="1"/>
  <c r="AF33" i="16"/>
  <c r="AF32" i="16" s="1"/>
  <c r="AE33" i="16"/>
  <c r="AE32" i="16" s="1"/>
  <c r="AD33" i="16"/>
  <c r="AC33" i="16"/>
  <c r="AC32" i="16" s="1"/>
  <c r="AB33" i="16"/>
  <c r="AB32" i="16" s="1"/>
  <c r="AA33" i="16"/>
  <c r="AA28" i="16" s="1"/>
  <c r="AA27" i="16" s="1"/>
  <c r="Z33" i="16"/>
  <c r="Y33" i="16"/>
  <c r="Y32" i="16" s="1"/>
  <c r="X33" i="16"/>
  <c r="X32" i="16" s="1"/>
  <c r="W33" i="16"/>
  <c r="W32" i="16" s="1"/>
  <c r="V33" i="16"/>
  <c r="U33" i="16"/>
  <c r="U32" i="16" s="1"/>
  <c r="T33" i="16"/>
  <c r="T32" i="16" s="1"/>
  <c r="S33" i="16"/>
  <c r="S32" i="16" s="1"/>
  <c r="R33" i="16"/>
  <c r="R32" i="16" s="1"/>
  <c r="Q33" i="16"/>
  <c r="Q32" i="16" s="1"/>
  <c r="P33" i="16"/>
  <c r="P32" i="16" s="1"/>
  <c r="O33" i="16"/>
  <c r="O32" i="16" s="1"/>
  <c r="N33" i="16"/>
  <c r="N32" i="16" s="1"/>
  <c r="M33" i="16"/>
  <c r="M32" i="16" s="1"/>
  <c r="L33" i="16"/>
  <c r="K28" i="16"/>
  <c r="J33" i="16"/>
  <c r="AD32" i="16"/>
  <c r="Z32" i="16"/>
  <c r="V32" i="16"/>
  <c r="G31" i="16"/>
  <c r="G30" i="16" s="1"/>
  <c r="D31" i="16"/>
  <c r="D30" i="16" s="1"/>
  <c r="AG30" i="16"/>
  <c r="AF30" i="16"/>
  <c r="AE30" i="16"/>
  <c r="AD30" i="16"/>
  <c r="AC30" i="16"/>
  <c r="AB30" i="16"/>
  <c r="AA30" i="16"/>
  <c r="Z30" i="16"/>
  <c r="Y30" i="16"/>
  <c r="X30" i="16"/>
  <c r="W30" i="16"/>
  <c r="V30" i="16"/>
  <c r="U30" i="16"/>
  <c r="T30" i="16"/>
  <c r="S30" i="16"/>
  <c r="R30" i="16"/>
  <c r="Q30" i="16"/>
  <c r="P30" i="16"/>
  <c r="O30" i="16"/>
  <c r="N30" i="16"/>
  <c r="M30" i="16"/>
  <c r="L30" i="16"/>
  <c r="K30" i="16"/>
  <c r="J30" i="16"/>
  <c r="AG29" i="16"/>
  <c r="AG10" i="16" s="1"/>
  <c r="AF29" i="16"/>
  <c r="AF10" i="16" s="1"/>
  <c r="AE29" i="16"/>
  <c r="AD29" i="16"/>
  <c r="AD10" i="16" s="1"/>
  <c r="AC29" i="16"/>
  <c r="AC10" i="16" s="1"/>
  <c r="AB29" i="16"/>
  <c r="AB10" i="16" s="1"/>
  <c r="AA29" i="16"/>
  <c r="AA10" i="16" s="1"/>
  <c r="Z29" i="16"/>
  <c r="Z10" i="16" s="1"/>
  <c r="Y29" i="16"/>
  <c r="Y10" i="16" s="1"/>
  <c r="X29" i="16"/>
  <c r="W29" i="16"/>
  <c r="V29" i="16"/>
  <c r="V10" i="16" s="1"/>
  <c r="U29" i="16"/>
  <c r="U10" i="16" s="1"/>
  <c r="T29" i="16"/>
  <c r="T10" i="16" s="1"/>
  <c r="S29" i="16"/>
  <c r="R29" i="16"/>
  <c r="R10" i="16" s="1"/>
  <c r="Q29" i="16"/>
  <c r="Q10" i="16" s="1"/>
  <c r="P29" i="16"/>
  <c r="P10" i="16" s="1"/>
  <c r="O29" i="16"/>
  <c r="N29" i="16"/>
  <c r="N10" i="16" s="1"/>
  <c r="M10" i="16"/>
  <c r="L29" i="16"/>
  <c r="K29" i="16"/>
  <c r="G29" i="16" s="1"/>
  <c r="J29" i="16"/>
  <c r="E29" i="16" s="1"/>
  <c r="W28" i="16"/>
  <c r="W27" i="16" s="1"/>
  <c r="G25" i="16"/>
  <c r="E24" i="16"/>
  <c r="D24" i="16"/>
  <c r="AG24" i="16"/>
  <c r="AF24" i="16"/>
  <c r="AE24" i="16"/>
  <c r="AD24" i="16"/>
  <c r="AC24" i="16"/>
  <c r="AB24" i="16"/>
  <c r="AA24" i="16"/>
  <c r="Z24" i="16"/>
  <c r="Y24" i="16"/>
  <c r="X24" i="16"/>
  <c r="W24" i="16"/>
  <c r="V24" i="16"/>
  <c r="U24" i="16"/>
  <c r="T24" i="16"/>
  <c r="S24" i="16"/>
  <c r="R24" i="16"/>
  <c r="Q24" i="16"/>
  <c r="P24" i="16"/>
  <c r="O24" i="16"/>
  <c r="N24" i="16"/>
  <c r="L24" i="16"/>
  <c r="K24" i="16"/>
  <c r="J24" i="16"/>
  <c r="G22" i="16"/>
  <c r="D22" i="16"/>
  <c r="D21" i="16" s="1"/>
  <c r="AG21" i="16"/>
  <c r="AF21" i="16"/>
  <c r="AE21" i="16"/>
  <c r="AD21" i="16"/>
  <c r="AC21" i="16"/>
  <c r="AB21" i="16"/>
  <c r="AA21" i="16"/>
  <c r="Z21" i="16"/>
  <c r="Y21" i="16"/>
  <c r="X21" i="16"/>
  <c r="W21" i="16"/>
  <c r="V21" i="16"/>
  <c r="U21" i="16"/>
  <c r="T21" i="16"/>
  <c r="S21" i="16"/>
  <c r="R21" i="16"/>
  <c r="Q21" i="16"/>
  <c r="P21" i="16"/>
  <c r="O21" i="16"/>
  <c r="N21" i="16"/>
  <c r="M21" i="16"/>
  <c r="L21" i="16"/>
  <c r="K21" i="16"/>
  <c r="J21" i="16"/>
  <c r="G19" i="16"/>
  <c r="D19" i="16"/>
  <c r="D18" i="16" s="1"/>
  <c r="AG18" i="16"/>
  <c r="AF18" i="16"/>
  <c r="AE18" i="16"/>
  <c r="AD18" i="16"/>
  <c r="AC18" i="16"/>
  <c r="AB18" i="16"/>
  <c r="AA18" i="16"/>
  <c r="Z18" i="16"/>
  <c r="Y18" i="16"/>
  <c r="X18" i="16"/>
  <c r="W18" i="16"/>
  <c r="V18" i="16"/>
  <c r="U18" i="16"/>
  <c r="T18" i="16"/>
  <c r="S18" i="16"/>
  <c r="R18" i="16"/>
  <c r="Q18" i="16"/>
  <c r="P18" i="16"/>
  <c r="O18" i="16"/>
  <c r="N18" i="16"/>
  <c r="M18" i="16"/>
  <c r="L18" i="16"/>
  <c r="K18" i="16"/>
  <c r="J18" i="16"/>
  <c r="G17" i="16"/>
  <c r="E16" i="16"/>
  <c r="D17" i="16"/>
  <c r="D16" i="16" s="1"/>
  <c r="AG16" i="16"/>
  <c r="AF16" i="16"/>
  <c r="AE16" i="16"/>
  <c r="AD16" i="16"/>
  <c r="AC16" i="16"/>
  <c r="AB16" i="16"/>
  <c r="AA16" i="16"/>
  <c r="Z16" i="16"/>
  <c r="Y16" i="16"/>
  <c r="X16" i="16"/>
  <c r="W16" i="16"/>
  <c r="V16" i="16"/>
  <c r="U16" i="16"/>
  <c r="T16" i="16"/>
  <c r="S16" i="16"/>
  <c r="R16" i="16"/>
  <c r="Q16" i="16"/>
  <c r="P16" i="16"/>
  <c r="O16" i="16"/>
  <c r="N16" i="16"/>
  <c r="M16" i="16"/>
  <c r="L16" i="16"/>
  <c r="K16" i="16"/>
  <c r="J16" i="16"/>
  <c r="G15" i="16"/>
  <c r="D15" i="16"/>
  <c r="D14" i="16" s="1"/>
  <c r="AG14" i="16"/>
  <c r="AF14" i="16"/>
  <c r="AE14" i="16"/>
  <c r="AD14" i="16"/>
  <c r="AC14" i="16"/>
  <c r="AB14" i="16"/>
  <c r="AA14" i="16"/>
  <c r="Z14" i="16"/>
  <c r="Y14" i="16"/>
  <c r="X14" i="16"/>
  <c r="W14" i="16"/>
  <c r="V14" i="16"/>
  <c r="U14" i="16"/>
  <c r="T14" i="16"/>
  <c r="S14" i="16"/>
  <c r="R14" i="16"/>
  <c r="Q14" i="16"/>
  <c r="P14" i="16"/>
  <c r="O14" i="16"/>
  <c r="N14" i="16"/>
  <c r="M14" i="16"/>
  <c r="L14" i="16"/>
  <c r="K14" i="16"/>
  <c r="J14" i="16"/>
  <c r="AG13" i="16"/>
  <c r="AF13" i="16"/>
  <c r="AE13" i="16"/>
  <c r="AD13" i="16"/>
  <c r="AC13" i="16"/>
  <c r="AB13" i="16"/>
  <c r="AA13" i="16"/>
  <c r="AA12" i="16" s="1"/>
  <c r="Z13" i="16"/>
  <c r="Z12" i="16" s="1"/>
  <c r="Y13" i="16"/>
  <c r="Y12" i="16" s="1"/>
  <c r="X13" i="16"/>
  <c r="W13" i="16"/>
  <c r="W12" i="16" s="1"/>
  <c r="V13" i="16"/>
  <c r="U13" i="16"/>
  <c r="U12" i="16" s="1"/>
  <c r="T13" i="16"/>
  <c r="T12" i="16" s="1"/>
  <c r="S13" i="16"/>
  <c r="S12" i="16" s="1"/>
  <c r="R13" i="16"/>
  <c r="Q13" i="16"/>
  <c r="Q12" i="16" s="1"/>
  <c r="P13" i="16"/>
  <c r="P12" i="16" s="1"/>
  <c r="O13" i="16"/>
  <c r="O12" i="16" s="1"/>
  <c r="N13" i="16"/>
  <c r="N12" i="16" s="1"/>
  <c r="M13" i="16"/>
  <c r="M12" i="16" s="1"/>
  <c r="L13" i="16"/>
  <c r="K13" i="16"/>
  <c r="J13" i="16"/>
  <c r="J12" i="16" s="1"/>
  <c r="AG12" i="16"/>
  <c r="AF12" i="16"/>
  <c r="AE12" i="16"/>
  <c r="AD12" i="16"/>
  <c r="AC12" i="16"/>
  <c r="AB12" i="16"/>
  <c r="X12" i="16"/>
  <c r="L12" i="16"/>
  <c r="AE10" i="16"/>
  <c r="X10" i="16"/>
  <c r="W10" i="16"/>
  <c r="O10" i="16"/>
  <c r="L10" i="16"/>
  <c r="E10" i="16"/>
  <c r="L32" i="16" l="1"/>
  <c r="E32" i="16"/>
  <c r="K10" i="16"/>
  <c r="J32" i="16"/>
  <c r="G33" i="16"/>
  <c r="O28" i="16"/>
  <c r="O27" i="16" s="1"/>
  <c r="K32" i="16"/>
  <c r="AA32" i="16"/>
  <c r="G13" i="16"/>
  <c r="K27" i="16"/>
  <c r="D33" i="16"/>
  <c r="D32" i="16" s="1"/>
  <c r="I43" i="16"/>
  <c r="I29" i="16"/>
  <c r="I56" i="16"/>
  <c r="I19" i="16"/>
  <c r="R28" i="16"/>
  <c r="R9" i="16" s="1"/>
  <c r="R8" i="16" s="1"/>
  <c r="AD28" i="16"/>
  <c r="AD27" i="16" s="1"/>
  <c r="N28" i="16"/>
  <c r="N27" i="16" s="1"/>
  <c r="V28" i="16"/>
  <c r="V27" i="16" s="1"/>
  <c r="Z28" i="16"/>
  <c r="Z27" i="16" s="1"/>
  <c r="I57" i="16"/>
  <c r="I25" i="16"/>
  <c r="S28" i="16"/>
  <c r="S9" i="16" s="1"/>
  <c r="AE28" i="16"/>
  <c r="AE27" i="16" s="1"/>
  <c r="G46" i="16"/>
  <c r="I46" i="16" s="1"/>
  <c r="I15" i="16"/>
  <c r="G18" i="16"/>
  <c r="I18" i="16" s="1"/>
  <c r="X28" i="16"/>
  <c r="I35" i="16"/>
  <c r="R12" i="16"/>
  <c r="G24" i="16"/>
  <c r="I24" i="16" s="1"/>
  <c r="L28" i="16"/>
  <c r="I37" i="16"/>
  <c r="I39" i="16"/>
  <c r="I41" i="16"/>
  <c r="I48" i="16"/>
  <c r="M28" i="16"/>
  <c r="M27" i="16" s="1"/>
  <c r="G34" i="16"/>
  <c r="H34" i="16" s="1"/>
  <c r="I50" i="16"/>
  <c r="I55" i="16"/>
  <c r="G14" i="16"/>
  <c r="I14" i="16" s="1"/>
  <c r="I17" i="16"/>
  <c r="I22" i="16"/>
  <c r="Y28" i="16"/>
  <c r="Y27" i="16" s="1"/>
  <c r="G36" i="16"/>
  <c r="H36" i="16" s="1"/>
  <c r="G38" i="16"/>
  <c r="I38" i="16" s="1"/>
  <c r="G40" i="16"/>
  <c r="D42" i="16"/>
  <c r="S10" i="16"/>
  <c r="G10" i="16" s="1"/>
  <c r="G21" i="16"/>
  <c r="I21" i="16" s="1"/>
  <c r="J28" i="16"/>
  <c r="D29" i="16"/>
  <c r="H29" i="16" s="1"/>
  <c r="I44" i="16"/>
  <c r="G53" i="16"/>
  <c r="F53" i="16" s="1"/>
  <c r="F52" i="16" s="1"/>
  <c r="I58" i="16"/>
  <c r="G16" i="16"/>
  <c r="I16" i="16" s="1"/>
  <c r="F13" i="16"/>
  <c r="F12" i="16" s="1"/>
  <c r="G12" i="16"/>
  <c r="I34" i="16"/>
  <c r="I40" i="16"/>
  <c r="I30" i="16"/>
  <c r="H30" i="16"/>
  <c r="F29" i="16"/>
  <c r="F31" i="16"/>
  <c r="F30" i="16" s="1"/>
  <c r="F34" i="16"/>
  <c r="F37" i="16"/>
  <c r="F39" i="16"/>
  <c r="F41" i="16"/>
  <c r="F40" i="16" s="1"/>
  <c r="G45" i="16"/>
  <c r="G47" i="16"/>
  <c r="G49" i="16"/>
  <c r="G54" i="16"/>
  <c r="H35" i="16"/>
  <c r="H37" i="16"/>
  <c r="H39" i="16"/>
  <c r="H41" i="16"/>
  <c r="H43" i="16"/>
  <c r="H56" i="16"/>
  <c r="H14" i="16"/>
  <c r="H31" i="16"/>
  <c r="I31" i="16"/>
  <c r="D10" i="16"/>
  <c r="D13" i="16"/>
  <c r="D12" i="16" s="1"/>
  <c r="P28" i="16"/>
  <c r="AB28" i="16"/>
  <c r="D46" i="16"/>
  <c r="D45" i="16" s="1"/>
  <c r="J52" i="16"/>
  <c r="D53" i="16"/>
  <c r="D52" i="16" s="1"/>
  <c r="V12" i="16"/>
  <c r="J45" i="16"/>
  <c r="K9" i="16"/>
  <c r="W9" i="16"/>
  <c r="W8" i="16" s="1"/>
  <c r="K12" i="16"/>
  <c r="Q28" i="16"/>
  <c r="AC28" i="16"/>
  <c r="K52" i="16"/>
  <c r="F15" i="16"/>
  <c r="F14" i="16" s="1"/>
  <c r="F17" i="16"/>
  <c r="F16" i="16" s="1"/>
  <c r="F19" i="16"/>
  <c r="F18" i="16" s="1"/>
  <c r="F22" i="16"/>
  <c r="F21" i="16" s="1"/>
  <c r="F24" i="16"/>
  <c r="F36" i="16"/>
  <c r="F44" i="16"/>
  <c r="F46" i="16"/>
  <c r="F45" i="16" s="1"/>
  <c r="F48" i="16"/>
  <c r="F47" i="16" s="1"/>
  <c r="F50" i="16"/>
  <c r="F54" i="16"/>
  <c r="F57" i="16"/>
  <c r="F56" i="16" s="1"/>
  <c r="F58" i="16"/>
  <c r="Y9" i="16"/>
  <c r="Y8" i="16" s="1"/>
  <c r="N9" i="16"/>
  <c r="N8" i="16" s="1"/>
  <c r="H15" i="16"/>
  <c r="H17" i="16"/>
  <c r="H19" i="16"/>
  <c r="H22" i="16"/>
  <c r="H25" i="16"/>
  <c r="T28" i="16"/>
  <c r="AF28" i="16"/>
  <c r="H40" i="16"/>
  <c r="H44" i="16"/>
  <c r="H48" i="16"/>
  <c r="H50" i="16"/>
  <c r="H55" i="16"/>
  <c r="H57" i="16"/>
  <c r="H59" i="16"/>
  <c r="G42" i="16"/>
  <c r="O9" i="16"/>
  <c r="O8" i="16" s="1"/>
  <c r="AA9" i="16"/>
  <c r="AA8" i="16" s="1"/>
  <c r="U28" i="16"/>
  <c r="AG28" i="16"/>
  <c r="K24" i="5"/>
  <c r="G9" i="16" l="1"/>
  <c r="G32" i="16"/>
  <c r="I32" i="16" s="1"/>
  <c r="F33" i="16"/>
  <c r="H33" i="16"/>
  <c r="H32" i="16"/>
  <c r="I33" i="16"/>
  <c r="F32" i="16"/>
  <c r="G52" i="16"/>
  <c r="I52" i="16" s="1"/>
  <c r="I36" i="16"/>
  <c r="R27" i="16"/>
  <c r="V9" i="16"/>
  <c r="V8" i="16" s="1"/>
  <c r="Z9" i="16"/>
  <c r="Z8" i="16" s="1"/>
  <c r="J27" i="16"/>
  <c r="S8" i="16"/>
  <c r="M9" i="16"/>
  <c r="M8" i="16" s="1"/>
  <c r="J9" i="16"/>
  <c r="H16" i="16"/>
  <c r="I53" i="16"/>
  <c r="S27" i="16"/>
  <c r="F10" i="16"/>
  <c r="I10" i="16"/>
  <c r="F38" i="16"/>
  <c r="H10" i="16"/>
  <c r="AD9" i="16"/>
  <c r="AD8" i="16" s="1"/>
  <c r="H21" i="16"/>
  <c r="AE9" i="16"/>
  <c r="AE8" i="16" s="1"/>
  <c r="H38" i="16"/>
  <c r="H58" i="16"/>
  <c r="H24" i="16"/>
  <c r="L9" i="16"/>
  <c r="L8" i="16" s="1"/>
  <c r="L27" i="16"/>
  <c r="X9" i="16"/>
  <c r="X8" i="16" s="1"/>
  <c r="X27" i="16"/>
  <c r="H18" i="16"/>
  <c r="T27" i="16"/>
  <c r="T9" i="16"/>
  <c r="T8" i="16" s="1"/>
  <c r="AC9" i="16"/>
  <c r="AC8" i="16" s="1"/>
  <c r="AC27" i="16"/>
  <c r="I42" i="16"/>
  <c r="H42" i="16"/>
  <c r="Q9" i="16"/>
  <c r="Q8" i="16" s="1"/>
  <c r="Q27" i="16"/>
  <c r="I47" i="16"/>
  <c r="H47" i="16"/>
  <c r="P27" i="16"/>
  <c r="P9" i="16"/>
  <c r="P8" i="16" s="1"/>
  <c r="I45" i="16"/>
  <c r="H45" i="16"/>
  <c r="H53" i="16"/>
  <c r="I54" i="16"/>
  <c r="H54" i="16"/>
  <c r="I49" i="16"/>
  <c r="H49" i="16"/>
  <c r="F49" i="16"/>
  <c r="K8" i="16"/>
  <c r="I12" i="16"/>
  <c r="H12" i="16"/>
  <c r="AF27" i="16"/>
  <c r="AF9" i="16"/>
  <c r="AF8" i="16" s="1"/>
  <c r="H46" i="16"/>
  <c r="AB9" i="16"/>
  <c r="AB8" i="16" s="1"/>
  <c r="AB27" i="16"/>
  <c r="AG27" i="16"/>
  <c r="AG9" i="16"/>
  <c r="AG8" i="16" s="1"/>
  <c r="U27" i="16"/>
  <c r="U9" i="16"/>
  <c r="U8" i="16" s="1"/>
  <c r="H13" i="16"/>
  <c r="G28" i="16"/>
  <c r="D28" i="16"/>
  <c r="I13" i="16"/>
  <c r="D43" i="5"/>
  <c r="E43" i="5"/>
  <c r="G43" i="5"/>
  <c r="F43" i="5" s="1"/>
  <c r="G85" i="5"/>
  <c r="E85" i="5"/>
  <c r="D85" i="5"/>
  <c r="G84" i="5"/>
  <c r="F84" i="5" s="1"/>
  <c r="E84" i="5"/>
  <c r="D84" i="5"/>
  <c r="G83" i="5"/>
  <c r="E83" i="5"/>
  <c r="D83" i="5"/>
  <c r="AG82" i="5"/>
  <c r="AF82" i="5"/>
  <c r="AE82" i="5"/>
  <c r="AD82" i="5"/>
  <c r="AC82" i="5"/>
  <c r="AB82" i="5"/>
  <c r="AA82" i="5"/>
  <c r="Z82" i="5"/>
  <c r="Y82" i="5"/>
  <c r="X82" i="5"/>
  <c r="W82" i="5"/>
  <c r="V82" i="5"/>
  <c r="U82" i="5"/>
  <c r="T82" i="5"/>
  <c r="S82" i="5"/>
  <c r="R82" i="5"/>
  <c r="Q82" i="5"/>
  <c r="P82" i="5"/>
  <c r="O82" i="5"/>
  <c r="N82" i="5"/>
  <c r="M82" i="5"/>
  <c r="L82" i="5"/>
  <c r="K82" i="5"/>
  <c r="J82" i="5"/>
  <c r="G80" i="5"/>
  <c r="E80" i="5"/>
  <c r="D80" i="5"/>
  <c r="G79" i="5"/>
  <c r="F79" i="5" s="1"/>
  <c r="E79" i="5"/>
  <c r="D79" i="5"/>
  <c r="G78" i="5"/>
  <c r="F78" i="5" s="1"/>
  <c r="E78" i="5"/>
  <c r="D78" i="5"/>
  <c r="G77" i="5"/>
  <c r="F77" i="5" s="1"/>
  <c r="E77" i="5"/>
  <c r="D77" i="5"/>
  <c r="AG76" i="5"/>
  <c r="AF76" i="5"/>
  <c r="AE76" i="5"/>
  <c r="AD76" i="5"/>
  <c r="AC76" i="5"/>
  <c r="AB76" i="5"/>
  <c r="AA76" i="5"/>
  <c r="Z76" i="5"/>
  <c r="Y76" i="5"/>
  <c r="X76" i="5"/>
  <c r="W76" i="5"/>
  <c r="V76" i="5"/>
  <c r="U76" i="5"/>
  <c r="T76" i="5"/>
  <c r="S76" i="5"/>
  <c r="R76" i="5"/>
  <c r="Q76" i="5"/>
  <c r="P76" i="5"/>
  <c r="N76" i="5"/>
  <c r="M76" i="5"/>
  <c r="L76" i="5"/>
  <c r="K76" i="5"/>
  <c r="J76" i="5"/>
  <c r="G74" i="5"/>
  <c r="E74" i="5"/>
  <c r="D74" i="5"/>
  <c r="G73" i="5"/>
  <c r="F73" i="5" s="1"/>
  <c r="D73" i="5"/>
  <c r="G72" i="5"/>
  <c r="F72" i="5" s="1"/>
  <c r="E72" i="5"/>
  <c r="D72" i="5"/>
  <c r="G71" i="5"/>
  <c r="E71" i="5"/>
  <c r="D71" i="5"/>
  <c r="AG70" i="5"/>
  <c r="AF70" i="5"/>
  <c r="AE70" i="5"/>
  <c r="AD70" i="5"/>
  <c r="AC70" i="5"/>
  <c r="AB70" i="5"/>
  <c r="AA70" i="5"/>
  <c r="Z70" i="5"/>
  <c r="Y70" i="5"/>
  <c r="X70" i="5"/>
  <c r="W70" i="5"/>
  <c r="V70" i="5"/>
  <c r="U70" i="5"/>
  <c r="T70" i="5"/>
  <c r="S70" i="5"/>
  <c r="R70" i="5"/>
  <c r="Q70" i="5"/>
  <c r="P70" i="5"/>
  <c r="O70" i="5"/>
  <c r="N70" i="5"/>
  <c r="M70" i="5"/>
  <c r="L70" i="5"/>
  <c r="K70" i="5"/>
  <c r="J70" i="5"/>
  <c r="G69" i="5"/>
  <c r="E69" i="5"/>
  <c r="D69" i="5"/>
  <c r="G68" i="5"/>
  <c r="F68" i="5" s="1"/>
  <c r="E68" i="5"/>
  <c r="D68" i="5"/>
  <c r="G67" i="5"/>
  <c r="E67" i="5"/>
  <c r="D67" i="5"/>
  <c r="G66" i="5"/>
  <c r="F66" i="5" s="1"/>
  <c r="E66" i="5"/>
  <c r="D66" i="5"/>
  <c r="AG65" i="5"/>
  <c r="AF65" i="5"/>
  <c r="AE65" i="5"/>
  <c r="AD65" i="5"/>
  <c r="AC65" i="5"/>
  <c r="AB65" i="5"/>
  <c r="AA65" i="5"/>
  <c r="Z65" i="5"/>
  <c r="Y65" i="5"/>
  <c r="X65" i="5"/>
  <c r="W65" i="5"/>
  <c r="V65" i="5"/>
  <c r="U65" i="5"/>
  <c r="T65" i="5"/>
  <c r="S65" i="5"/>
  <c r="R65" i="5"/>
  <c r="Q65" i="5"/>
  <c r="P65" i="5"/>
  <c r="O65" i="5"/>
  <c r="N65" i="5"/>
  <c r="M65" i="5"/>
  <c r="L65" i="5"/>
  <c r="K65" i="5"/>
  <c r="J65" i="5"/>
  <c r="G64" i="5"/>
  <c r="E64" i="5"/>
  <c r="D64" i="5"/>
  <c r="AG63" i="5"/>
  <c r="AF63" i="5"/>
  <c r="AE63" i="5"/>
  <c r="AD63" i="5"/>
  <c r="AC63" i="5"/>
  <c r="AB63" i="5"/>
  <c r="AA63" i="5"/>
  <c r="Z63" i="5"/>
  <c r="Y63" i="5"/>
  <c r="X63" i="5"/>
  <c r="W63" i="5"/>
  <c r="V63" i="5"/>
  <c r="U63" i="5"/>
  <c r="T63" i="5"/>
  <c r="S63" i="5"/>
  <c r="R63" i="5"/>
  <c r="Q63" i="5"/>
  <c r="P63" i="5"/>
  <c r="O63" i="5"/>
  <c r="N63" i="5"/>
  <c r="M63" i="5"/>
  <c r="L63" i="5"/>
  <c r="K63" i="5"/>
  <c r="J63" i="5"/>
  <c r="E63" i="5" s="1"/>
  <c r="AG62" i="5"/>
  <c r="AF62" i="5"/>
  <c r="AE62" i="5"/>
  <c r="AD62" i="5"/>
  <c r="AC62" i="5"/>
  <c r="AB62" i="5"/>
  <c r="AA62" i="5"/>
  <c r="Z62" i="5"/>
  <c r="Y62" i="5"/>
  <c r="X62" i="5"/>
  <c r="W62" i="5"/>
  <c r="V62" i="5"/>
  <c r="U62" i="5"/>
  <c r="T62" i="5"/>
  <c r="S62" i="5"/>
  <c r="R62" i="5"/>
  <c r="Q62" i="5"/>
  <c r="P62" i="5"/>
  <c r="O62" i="5"/>
  <c r="N62" i="5"/>
  <c r="M62" i="5"/>
  <c r="L62" i="5"/>
  <c r="K62" i="5"/>
  <c r="J62" i="5"/>
  <c r="E62" i="5" s="1"/>
  <c r="AG61" i="5"/>
  <c r="AF61" i="5"/>
  <c r="AE61" i="5"/>
  <c r="AE60" i="5" s="1"/>
  <c r="AD61" i="5"/>
  <c r="AD60" i="5" s="1"/>
  <c r="AC61" i="5"/>
  <c r="AC60" i="5" s="1"/>
  <c r="AB61" i="5"/>
  <c r="AA61" i="5"/>
  <c r="Z61" i="5"/>
  <c r="Z60" i="5" s="1"/>
  <c r="Y61" i="5"/>
  <c r="X61" i="5"/>
  <c r="W61" i="5"/>
  <c r="W60" i="5" s="1"/>
  <c r="V61" i="5"/>
  <c r="V60" i="5" s="1"/>
  <c r="U61" i="5"/>
  <c r="U60" i="5" s="1"/>
  <c r="T61" i="5"/>
  <c r="S61" i="5"/>
  <c r="R61" i="5"/>
  <c r="R60" i="5" s="1"/>
  <c r="Q61" i="5"/>
  <c r="P61" i="5"/>
  <c r="O61" i="5"/>
  <c r="O60" i="5" s="1"/>
  <c r="N61" i="5"/>
  <c r="N60" i="5" s="1"/>
  <c r="M61" i="5"/>
  <c r="M60" i="5" s="1"/>
  <c r="L61" i="5"/>
  <c r="K61" i="5"/>
  <c r="J61" i="5"/>
  <c r="E61" i="5" s="1"/>
  <c r="G58" i="5"/>
  <c r="F58" i="5" s="1"/>
  <c r="E58" i="5"/>
  <c r="D58" i="5"/>
  <c r="G57" i="5"/>
  <c r="F57" i="5" s="1"/>
  <c r="E57" i="5"/>
  <c r="D57" i="5"/>
  <c r="G56" i="5"/>
  <c r="F56" i="5" s="1"/>
  <c r="E56" i="5"/>
  <c r="D56" i="5"/>
  <c r="G55" i="5"/>
  <c r="F55" i="5" s="1"/>
  <c r="E55" i="5"/>
  <c r="D55" i="5"/>
  <c r="AG54" i="5"/>
  <c r="AF54" i="5"/>
  <c r="AE54" i="5"/>
  <c r="AD54" i="5"/>
  <c r="AC54" i="5"/>
  <c r="AB54" i="5"/>
  <c r="AA54" i="5"/>
  <c r="Z54" i="5"/>
  <c r="Y54" i="5"/>
  <c r="X54" i="5"/>
  <c r="W54" i="5"/>
  <c r="V54" i="5"/>
  <c r="U54" i="5"/>
  <c r="T54" i="5"/>
  <c r="S54" i="5"/>
  <c r="R54" i="5"/>
  <c r="Q54" i="5"/>
  <c r="P54" i="5"/>
  <c r="O54" i="5"/>
  <c r="N54" i="5"/>
  <c r="M54" i="5"/>
  <c r="L54" i="5"/>
  <c r="K54" i="5"/>
  <c r="J54" i="5"/>
  <c r="G53" i="5"/>
  <c r="F53" i="5" s="1"/>
  <c r="E53" i="5"/>
  <c r="D53" i="5"/>
  <c r="G52" i="5"/>
  <c r="E52" i="5"/>
  <c r="D52" i="5"/>
  <c r="G51" i="5"/>
  <c r="F51" i="5" s="1"/>
  <c r="E51" i="5"/>
  <c r="D51" i="5"/>
  <c r="G50" i="5"/>
  <c r="E50" i="5"/>
  <c r="D50" i="5"/>
  <c r="AG49" i="5"/>
  <c r="AF49" i="5"/>
  <c r="AE49" i="5"/>
  <c r="AD49" i="5"/>
  <c r="AC49" i="5"/>
  <c r="AB49" i="5"/>
  <c r="AA49" i="5"/>
  <c r="Z49" i="5"/>
  <c r="Y49" i="5"/>
  <c r="X49" i="5"/>
  <c r="W49" i="5"/>
  <c r="V49" i="5"/>
  <c r="U49" i="5"/>
  <c r="T49" i="5"/>
  <c r="S49" i="5"/>
  <c r="R49" i="5"/>
  <c r="Q49" i="5"/>
  <c r="P49" i="5"/>
  <c r="O49" i="5"/>
  <c r="N49" i="5"/>
  <c r="M49" i="5"/>
  <c r="L49" i="5"/>
  <c r="K49" i="5"/>
  <c r="J49" i="5"/>
  <c r="G48" i="5"/>
  <c r="E48" i="5"/>
  <c r="D48" i="5"/>
  <c r="G47" i="5"/>
  <c r="F47" i="5" s="1"/>
  <c r="E47" i="5"/>
  <c r="D47" i="5"/>
  <c r="G46" i="5"/>
  <c r="F46" i="5" s="1"/>
  <c r="E46" i="5"/>
  <c r="D46" i="5"/>
  <c r="G45" i="5"/>
  <c r="F45" i="5" s="1"/>
  <c r="E45" i="5"/>
  <c r="D45" i="5"/>
  <c r="AG44" i="5"/>
  <c r="AF44" i="5"/>
  <c r="AE44" i="5"/>
  <c r="AD44" i="5"/>
  <c r="AC44" i="5"/>
  <c r="AB44" i="5"/>
  <c r="AA44" i="5"/>
  <c r="Z44" i="5"/>
  <c r="Y44" i="5"/>
  <c r="X44" i="5"/>
  <c r="W44" i="5"/>
  <c r="V44" i="5"/>
  <c r="U44" i="5"/>
  <c r="T44" i="5"/>
  <c r="S44" i="5"/>
  <c r="R44" i="5"/>
  <c r="Q44" i="5"/>
  <c r="P44" i="5"/>
  <c r="O44" i="5"/>
  <c r="N44" i="5"/>
  <c r="M44" i="5"/>
  <c r="L44" i="5"/>
  <c r="K44" i="5"/>
  <c r="J44" i="5"/>
  <c r="G42" i="5"/>
  <c r="E42" i="5"/>
  <c r="D42" i="5"/>
  <c r="G41" i="5"/>
  <c r="F41" i="5" s="1"/>
  <c r="E41" i="5"/>
  <c r="D41" i="5"/>
  <c r="G40" i="5"/>
  <c r="F40" i="5" s="1"/>
  <c r="E40" i="5"/>
  <c r="D40" i="5"/>
  <c r="AG39" i="5"/>
  <c r="AF39" i="5"/>
  <c r="AE39" i="5"/>
  <c r="AD39" i="5"/>
  <c r="AC39" i="5"/>
  <c r="AB39" i="5"/>
  <c r="AA39" i="5"/>
  <c r="Z39" i="5"/>
  <c r="Y39" i="5"/>
  <c r="X39" i="5"/>
  <c r="W39" i="5"/>
  <c r="V39" i="5"/>
  <c r="U39" i="5"/>
  <c r="T39" i="5"/>
  <c r="S39" i="5"/>
  <c r="R39" i="5"/>
  <c r="Q39" i="5"/>
  <c r="P39" i="5"/>
  <c r="O39" i="5"/>
  <c r="N39" i="5"/>
  <c r="M39" i="5"/>
  <c r="L39" i="5"/>
  <c r="K39" i="5"/>
  <c r="J39" i="5"/>
  <c r="G38" i="5"/>
  <c r="E38" i="5"/>
  <c r="D38" i="5"/>
  <c r="G37" i="5"/>
  <c r="F37" i="5" s="1"/>
  <c r="E37" i="5"/>
  <c r="D37" i="5"/>
  <c r="G36" i="5"/>
  <c r="F36" i="5" s="1"/>
  <c r="E36" i="5"/>
  <c r="D36" i="5"/>
  <c r="G35" i="5"/>
  <c r="F35" i="5" s="1"/>
  <c r="E35" i="5"/>
  <c r="D35" i="5"/>
  <c r="AG34" i="5"/>
  <c r="AF34" i="5"/>
  <c r="AE34" i="5"/>
  <c r="AD34" i="5"/>
  <c r="AC34" i="5"/>
  <c r="AB34" i="5"/>
  <c r="AA34" i="5"/>
  <c r="Z34" i="5"/>
  <c r="Y34" i="5"/>
  <c r="X34" i="5"/>
  <c r="W34" i="5"/>
  <c r="V34" i="5"/>
  <c r="U34" i="5"/>
  <c r="T34" i="5"/>
  <c r="S34" i="5"/>
  <c r="R34" i="5"/>
  <c r="Q34" i="5"/>
  <c r="P34" i="5"/>
  <c r="O34" i="5"/>
  <c r="N34" i="5"/>
  <c r="M34" i="5"/>
  <c r="L34" i="5"/>
  <c r="K34" i="5"/>
  <c r="J34" i="5"/>
  <c r="G33" i="5"/>
  <c r="F33" i="5" s="1"/>
  <c r="E33" i="5"/>
  <c r="D33" i="5"/>
  <c r="G32" i="5"/>
  <c r="F32" i="5" s="1"/>
  <c r="E32" i="5"/>
  <c r="G31" i="5"/>
  <c r="F31" i="5" s="1"/>
  <c r="E31" i="5"/>
  <c r="D31" i="5"/>
  <c r="G30" i="5"/>
  <c r="F30" i="5" s="1"/>
  <c r="E30" i="5"/>
  <c r="D30" i="5"/>
  <c r="AG29" i="5"/>
  <c r="AF29" i="5"/>
  <c r="AE29" i="5"/>
  <c r="AD29" i="5"/>
  <c r="AC29" i="5"/>
  <c r="AB29" i="5"/>
  <c r="AA29" i="5"/>
  <c r="Z29" i="5"/>
  <c r="Y29" i="5"/>
  <c r="X29" i="5"/>
  <c r="W29" i="5"/>
  <c r="V29" i="5"/>
  <c r="U29" i="5"/>
  <c r="T29" i="5"/>
  <c r="S29" i="5"/>
  <c r="R29" i="5"/>
  <c r="Q29" i="5"/>
  <c r="P29" i="5"/>
  <c r="O29" i="5"/>
  <c r="N29" i="5"/>
  <c r="M29" i="5"/>
  <c r="L29" i="5"/>
  <c r="K29" i="5"/>
  <c r="J29" i="5"/>
  <c r="G28" i="5"/>
  <c r="E28" i="5"/>
  <c r="D28" i="5"/>
  <c r="F27" i="5"/>
  <c r="E27" i="5"/>
  <c r="I27" i="5" s="1"/>
  <c r="D27" i="5"/>
  <c r="G26" i="5"/>
  <c r="E26" i="5"/>
  <c r="D26" i="5"/>
  <c r="G25" i="5"/>
  <c r="E25" i="5"/>
  <c r="D25" i="5"/>
  <c r="AG24" i="5"/>
  <c r="AF24" i="5"/>
  <c r="AE24" i="5"/>
  <c r="AD24" i="5"/>
  <c r="AC24" i="5"/>
  <c r="AB24" i="5"/>
  <c r="AA24" i="5"/>
  <c r="Z24" i="5"/>
  <c r="Y24" i="5"/>
  <c r="X24" i="5"/>
  <c r="W24" i="5"/>
  <c r="V24" i="5"/>
  <c r="U24" i="5"/>
  <c r="T24" i="5"/>
  <c r="S24" i="5"/>
  <c r="R24" i="5"/>
  <c r="Q24" i="5"/>
  <c r="P24" i="5"/>
  <c r="O24" i="5"/>
  <c r="N24" i="5"/>
  <c r="M24" i="5"/>
  <c r="L24" i="5"/>
  <c r="J24" i="5"/>
  <c r="AG23" i="5"/>
  <c r="AG18" i="5" s="1"/>
  <c r="AG12" i="5" s="1"/>
  <c r="AF23" i="5"/>
  <c r="AF18" i="5" s="1"/>
  <c r="AF12" i="5" s="1"/>
  <c r="AE23" i="5"/>
  <c r="AD23" i="5"/>
  <c r="AD18" i="5" s="1"/>
  <c r="AD12" i="5" s="1"/>
  <c r="AC23" i="5"/>
  <c r="AB23" i="5"/>
  <c r="AB18" i="5" s="1"/>
  <c r="AA23" i="5"/>
  <c r="AA18" i="5" s="1"/>
  <c r="Z23" i="5"/>
  <c r="Z18" i="5" s="1"/>
  <c r="Z12" i="5" s="1"/>
  <c r="Y23" i="5"/>
  <c r="Y18" i="5" s="1"/>
  <c r="Y12" i="5" s="1"/>
  <c r="X23" i="5"/>
  <c r="X18" i="5" s="1"/>
  <c r="X12" i="5" s="1"/>
  <c r="W23" i="5"/>
  <c r="W18" i="5" s="1"/>
  <c r="W12" i="5" s="1"/>
  <c r="V23" i="5"/>
  <c r="V18" i="5" s="1"/>
  <c r="V12" i="5" s="1"/>
  <c r="U23" i="5"/>
  <c r="T23" i="5"/>
  <c r="T18" i="5" s="1"/>
  <c r="S23" i="5"/>
  <c r="S18" i="5" s="1"/>
  <c r="S12" i="5" s="1"/>
  <c r="R23" i="5"/>
  <c r="R18" i="5" s="1"/>
  <c r="R12" i="5" s="1"/>
  <c r="Q23" i="5"/>
  <c r="Q18" i="5" s="1"/>
  <c r="Q12" i="5" s="1"/>
  <c r="P23" i="5"/>
  <c r="P18" i="5" s="1"/>
  <c r="P12" i="5" s="1"/>
  <c r="O23" i="5"/>
  <c r="N23" i="5"/>
  <c r="M23" i="5"/>
  <c r="L23" i="5"/>
  <c r="K23" i="5"/>
  <c r="K18" i="5" s="1"/>
  <c r="J23" i="5"/>
  <c r="E23" i="5" s="1"/>
  <c r="AG22" i="5"/>
  <c r="AG17" i="5" s="1"/>
  <c r="AF22" i="5"/>
  <c r="AF17" i="5" s="1"/>
  <c r="AF11" i="5" s="1"/>
  <c r="AE22" i="5"/>
  <c r="AE17" i="5" s="1"/>
  <c r="AD22" i="5"/>
  <c r="AD17" i="5" s="1"/>
  <c r="AC22" i="5"/>
  <c r="AC17" i="5" s="1"/>
  <c r="AB22" i="5"/>
  <c r="AB17" i="5" s="1"/>
  <c r="AA22" i="5"/>
  <c r="AA17" i="5" s="1"/>
  <c r="AA11" i="5" s="1"/>
  <c r="Z22" i="5"/>
  <c r="Y22" i="5"/>
  <c r="Y17" i="5" s="1"/>
  <c r="X22" i="5"/>
  <c r="X17" i="5" s="1"/>
  <c r="W22" i="5"/>
  <c r="W17" i="5" s="1"/>
  <c r="W11" i="5" s="1"/>
  <c r="V22" i="5"/>
  <c r="V17" i="5" s="1"/>
  <c r="U22" i="5"/>
  <c r="U17" i="5" s="1"/>
  <c r="T22" i="5"/>
  <c r="T17" i="5" s="1"/>
  <c r="T11" i="5" s="1"/>
  <c r="S22" i="5"/>
  <c r="S17" i="5" s="1"/>
  <c r="S11" i="5" s="1"/>
  <c r="R22" i="5"/>
  <c r="Q22" i="5"/>
  <c r="Q17" i="5" s="1"/>
  <c r="P22" i="5"/>
  <c r="P17" i="5" s="1"/>
  <c r="O22" i="5"/>
  <c r="O17" i="5" s="1"/>
  <c r="O11" i="5" s="1"/>
  <c r="N22" i="5"/>
  <c r="N17" i="5" s="1"/>
  <c r="M22" i="5"/>
  <c r="M17" i="5" s="1"/>
  <c r="L22" i="5"/>
  <c r="L17" i="5" s="1"/>
  <c r="K22" i="5"/>
  <c r="K17" i="5" s="1"/>
  <c r="J22" i="5"/>
  <c r="AG21" i="5"/>
  <c r="AG16" i="5" s="1"/>
  <c r="AF21" i="5"/>
  <c r="AE21" i="5"/>
  <c r="AE16" i="5" s="1"/>
  <c r="AD21" i="5"/>
  <c r="AD16" i="5" s="1"/>
  <c r="AC21" i="5"/>
  <c r="AC16" i="5" s="1"/>
  <c r="AB21" i="5"/>
  <c r="AA21" i="5"/>
  <c r="AA16" i="5" s="1"/>
  <c r="AA10" i="5" s="1"/>
  <c r="Z21" i="5"/>
  <c r="Z16" i="5" s="1"/>
  <c r="Y21" i="5"/>
  <c r="X21" i="5"/>
  <c r="W21" i="5"/>
  <c r="W16" i="5" s="1"/>
  <c r="V21" i="5"/>
  <c r="U21" i="5"/>
  <c r="U16" i="5" s="1"/>
  <c r="T21" i="5"/>
  <c r="S21" i="5"/>
  <c r="S16" i="5" s="1"/>
  <c r="S10" i="5" s="1"/>
  <c r="R21" i="5"/>
  <c r="R16" i="5" s="1"/>
  <c r="Q21" i="5"/>
  <c r="P21" i="5"/>
  <c r="O21" i="5"/>
  <c r="O16" i="5" s="1"/>
  <c r="N21" i="5"/>
  <c r="N16" i="5" s="1"/>
  <c r="M21" i="5"/>
  <c r="M16" i="5" s="1"/>
  <c r="L21" i="5"/>
  <c r="K21" i="5"/>
  <c r="K16" i="5" s="1"/>
  <c r="K10" i="5" s="1"/>
  <c r="J21" i="5"/>
  <c r="E21" i="5" s="1"/>
  <c r="AG20" i="5"/>
  <c r="AG15" i="5" s="1"/>
  <c r="E20" i="5"/>
  <c r="D20" i="5"/>
  <c r="AF15" i="5"/>
  <c r="AE15" i="5"/>
  <c r="AD15" i="5"/>
  <c r="AC15" i="5"/>
  <c r="AB15" i="5"/>
  <c r="AA15" i="5"/>
  <c r="Z15" i="5"/>
  <c r="Y15" i="5"/>
  <c r="X15" i="5"/>
  <c r="W15" i="5"/>
  <c r="V15" i="5"/>
  <c r="U15" i="5"/>
  <c r="T15" i="5"/>
  <c r="S15" i="5"/>
  <c r="R15" i="5"/>
  <c r="Q15" i="5"/>
  <c r="P15" i="5"/>
  <c r="O15" i="5"/>
  <c r="N15" i="5"/>
  <c r="M15" i="5"/>
  <c r="L15" i="5"/>
  <c r="K15" i="5"/>
  <c r="J15" i="5"/>
  <c r="E15" i="5" s="1"/>
  <c r="Z10" i="5" l="1"/>
  <c r="Q11" i="5"/>
  <c r="L60" i="5"/>
  <c r="AG10" i="5"/>
  <c r="X11" i="5"/>
  <c r="U10" i="5"/>
  <c r="L11" i="5"/>
  <c r="M10" i="5"/>
  <c r="M11" i="5"/>
  <c r="Y11" i="5"/>
  <c r="U11" i="5"/>
  <c r="AG11" i="5"/>
  <c r="H52" i="16"/>
  <c r="J8" i="16"/>
  <c r="D9" i="16"/>
  <c r="D8" i="16" s="1"/>
  <c r="V19" i="5"/>
  <c r="P11" i="5"/>
  <c r="AB11" i="5"/>
  <c r="K9" i="5"/>
  <c r="H77" i="5"/>
  <c r="X9" i="5"/>
  <c r="L9" i="5"/>
  <c r="AF9" i="5"/>
  <c r="P9" i="5"/>
  <c r="L19" i="5"/>
  <c r="X19" i="5"/>
  <c r="AD10" i="5"/>
  <c r="R10" i="5"/>
  <c r="E60" i="5"/>
  <c r="I69" i="5"/>
  <c r="Y9" i="5"/>
  <c r="I50" i="5"/>
  <c r="I80" i="5"/>
  <c r="E76" i="5"/>
  <c r="M9" i="5"/>
  <c r="O9" i="5"/>
  <c r="I64" i="5"/>
  <c r="I42" i="5"/>
  <c r="I47" i="5"/>
  <c r="I25" i="5"/>
  <c r="H53" i="5"/>
  <c r="I71" i="5"/>
  <c r="AG9" i="5"/>
  <c r="Y19" i="5"/>
  <c r="T19" i="5"/>
  <c r="Q19" i="5"/>
  <c r="AB19" i="5"/>
  <c r="G20" i="5"/>
  <c r="F20" i="5" s="1"/>
  <c r="I28" i="5"/>
  <c r="AF19" i="5"/>
  <c r="AC10" i="5"/>
  <c r="AC11" i="5"/>
  <c r="Q9" i="5"/>
  <c r="AC9" i="5"/>
  <c r="I33" i="5"/>
  <c r="D39" i="5"/>
  <c r="I77" i="5"/>
  <c r="H31" i="5"/>
  <c r="H47" i="5"/>
  <c r="I28" i="16"/>
  <c r="H28" i="16"/>
  <c r="F28" i="16"/>
  <c r="F27" i="16" s="1"/>
  <c r="G27" i="16"/>
  <c r="Q16" i="5"/>
  <c r="Q10" i="5" s="1"/>
  <c r="Y16" i="5"/>
  <c r="Y10" i="5" s="1"/>
  <c r="T16" i="5"/>
  <c r="T10" i="5" s="1"/>
  <c r="I26" i="5"/>
  <c r="AD19" i="5"/>
  <c r="J16" i="5"/>
  <c r="J10" i="5" s="1"/>
  <c r="E10" i="5" s="1"/>
  <c r="I35" i="5"/>
  <c r="J18" i="5"/>
  <c r="E18" i="5" s="1"/>
  <c r="I43" i="5"/>
  <c r="I57" i="5"/>
  <c r="N10" i="5"/>
  <c r="N11" i="5"/>
  <c r="V11" i="5"/>
  <c r="AD11" i="5"/>
  <c r="H72" i="5"/>
  <c r="I85" i="5"/>
  <c r="H27" i="5"/>
  <c r="I38" i="5"/>
  <c r="I52" i="5"/>
  <c r="I74" i="5"/>
  <c r="H43" i="5"/>
  <c r="AE11" i="5"/>
  <c r="I72" i="5"/>
  <c r="V16" i="5"/>
  <c r="V10" i="5" s="1"/>
  <c r="D24" i="5"/>
  <c r="I67" i="5"/>
  <c r="E24" i="5"/>
  <c r="I31" i="5"/>
  <c r="E39" i="5"/>
  <c r="H51" i="5"/>
  <c r="H57" i="5"/>
  <c r="H35" i="5"/>
  <c r="I37" i="5"/>
  <c r="I51" i="5"/>
  <c r="H55" i="5"/>
  <c r="F71" i="5"/>
  <c r="G17" i="5"/>
  <c r="F17" i="5" s="1"/>
  <c r="K11" i="5"/>
  <c r="E44" i="5"/>
  <c r="I83" i="5"/>
  <c r="M19" i="5"/>
  <c r="U19" i="5"/>
  <c r="AC19" i="5"/>
  <c r="F25" i="5"/>
  <c r="I32" i="5"/>
  <c r="H41" i="5"/>
  <c r="D62" i="5"/>
  <c r="I68" i="5"/>
  <c r="H79" i="5"/>
  <c r="D82" i="5"/>
  <c r="W9" i="5"/>
  <c r="L16" i="5"/>
  <c r="L10" i="5" s="1"/>
  <c r="I30" i="5"/>
  <c r="H37" i="5"/>
  <c r="I41" i="5"/>
  <c r="I53" i="5"/>
  <c r="H67" i="5"/>
  <c r="I79" i="5"/>
  <c r="E82" i="5"/>
  <c r="H25" i="5"/>
  <c r="D21" i="5"/>
  <c r="I48" i="5"/>
  <c r="F67" i="5"/>
  <c r="J9" i="5"/>
  <c r="E9" i="5" s="1"/>
  <c r="AE9" i="5"/>
  <c r="F28" i="5"/>
  <c r="H33" i="5"/>
  <c r="I40" i="5"/>
  <c r="F42" i="5"/>
  <c r="F39" i="5" s="1"/>
  <c r="I46" i="5"/>
  <c r="F52" i="5"/>
  <c r="F64" i="5"/>
  <c r="G76" i="5"/>
  <c r="AB16" i="5"/>
  <c r="AB10" i="5" s="1"/>
  <c r="G24" i="5"/>
  <c r="G34" i="5"/>
  <c r="F38" i="5"/>
  <c r="F34" i="5" s="1"/>
  <c r="G62" i="5"/>
  <c r="I62" i="5" s="1"/>
  <c r="H68" i="5"/>
  <c r="H45" i="5"/>
  <c r="I45" i="5"/>
  <c r="AC18" i="5"/>
  <c r="AC12" i="5" s="1"/>
  <c r="M18" i="5"/>
  <c r="M12" i="5" s="1"/>
  <c r="G44" i="5"/>
  <c r="D44" i="5"/>
  <c r="F48" i="5"/>
  <c r="F44" i="5" s="1"/>
  <c r="U18" i="5"/>
  <c r="U12" i="5" s="1"/>
  <c r="AG19" i="5"/>
  <c r="O19" i="5"/>
  <c r="K19" i="5"/>
  <c r="S19" i="5"/>
  <c r="AA19" i="5"/>
  <c r="G21" i="5"/>
  <c r="F21" i="5" s="1"/>
  <c r="F50" i="5"/>
  <c r="AE19" i="5"/>
  <c r="N19" i="5"/>
  <c r="AA12" i="5"/>
  <c r="AA14" i="5"/>
  <c r="AE18" i="5"/>
  <c r="AE12" i="5" s="1"/>
  <c r="W19" i="5"/>
  <c r="N18" i="5"/>
  <c r="N12" i="5" s="1"/>
  <c r="J19" i="5"/>
  <c r="R19" i="5"/>
  <c r="Z19" i="5"/>
  <c r="O18" i="5"/>
  <c r="O12" i="5" s="1"/>
  <c r="D23" i="5"/>
  <c r="S14" i="5"/>
  <c r="G23" i="5"/>
  <c r="I23" i="5" s="1"/>
  <c r="T9" i="5"/>
  <c r="D15" i="5"/>
  <c r="I55" i="5"/>
  <c r="S9" i="5"/>
  <c r="S8" i="5" s="1"/>
  <c r="AA9" i="5"/>
  <c r="AB9" i="5"/>
  <c r="K14" i="5"/>
  <c r="AG14" i="5"/>
  <c r="AD14" i="5"/>
  <c r="F54" i="5"/>
  <c r="G54" i="5"/>
  <c r="D54" i="5"/>
  <c r="I58" i="5"/>
  <c r="W14" i="5"/>
  <c r="H64" i="5"/>
  <c r="I66" i="5"/>
  <c r="Z9" i="5"/>
  <c r="G65" i="5"/>
  <c r="R9" i="5"/>
  <c r="T60" i="5"/>
  <c r="H66" i="5"/>
  <c r="D65" i="5"/>
  <c r="F69" i="5"/>
  <c r="E65" i="5"/>
  <c r="AB60" i="5"/>
  <c r="E70" i="5"/>
  <c r="X60" i="5"/>
  <c r="AF60" i="5"/>
  <c r="G61" i="5"/>
  <c r="Q60" i="5"/>
  <c r="Y60" i="5"/>
  <c r="AG60" i="5"/>
  <c r="H71" i="5"/>
  <c r="K60" i="5"/>
  <c r="S60" i="5"/>
  <c r="AA60" i="5"/>
  <c r="F74" i="5"/>
  <c r="H74" i="5"/>
  <c r="G70" i="5"/>
  <c r="F80" i="5"/>
  <c r="F76" i="5" s="1"/>
  <c r="I78" i="5"/>
  <c r="H84" i="5"/>
  <c r="I84" i="5"/>
  <c r="F83" i="5"/>
  <c r="T12" i="5"/>
  <c r="AB12" i="5"/>
  <c r="F29" i="5"/>
  <c r="P16" i="5"/>
  <c r="X16" i="5"/>
  <c r="AF16" i="5"/>
  <c r="J17" i="5"/>
  <c r="R17" i="5"/>
  <c r="R11" i="5" s="1"/>
  <c r="Z17" i="5"/>
  <c r="Z11" i="5" s="1"/>
  <c r="L18" i="5"/>
  <c r="U9" i="5"/>
  <c r="O10" i="5"/>
  <c r="W10" i="5"/>
  <c r="AE10" i="5"/>
  <c r="K12" i="5"/>
  <c r="G15" i="5"/>
  <c r="D22" i="5"/>
  <c r="H28" i="5"/>
  <c r="H32" i="5"/>
  <c r="D34" i="5"/>
  <c r="H36" i="5"/>
  <c r="H40" i="5"/>
  <c r="H48" i="5"/>
  <c r="H52" i="5"/>
  <c r="H56" i="5"/>
  <c r="D63" i="5"/>
  <c r="H69" i="5"/>
  <c r="H73" i="5"/>
  <c r="D76" i="5"/>
  <c r="H78" i="5"/>
  <c r="H83" i="5"/>
  <c r="N9" i="5"/>
  <c r="V9" i="5"/>
  <c r="AD9" i="5"/>
  <c r="P19" i="5"/>
  <c r="E22" i="5"/>
  <c r="E19" i="5" s="1"/>
  <c r="E34" i="5"/>
  <c r="I36" i="5"/>
  <c r="G39" i="5"/>
  <c r="E54" i="5"/>
  <c r="I56" i="5"/>
  <c r="I73" i="5"/>
  <c r="G82" i="5"/>
  <c r="F26" i="5"/>
  <c r="D29" i="5"/>
  <c r="D49" i="5"/>
  <c r="P60" i="5"/>
  <c r="D70" i="5"/>
  <c r="F85" i="5"/>
  <c r="G22" i="5"/>
  <c r="E29" i="5"/>
  <c r="E49" i="5"/>
  <c r="G63" i="5"/>
  <c r="H26" i="5"/>
  <c r="H30" i="5"/>
  <c r="H38" i="5"/>
  <c r="H42" i="5"/>
  <c r="H46" i="5"/>
  <c r="H50" i="5"/>
  <c r="H58" i="5"/>
  <c r="J60" i="5"/>
  <c r="D61" i="5"/>
  <c r="H80" i="5"/>
  <c r="H85" i="5"/>
  <c r="G29" i="5"/>
  <c r="G49" i="5"/>
  <c r="AG8" i="5" l="1"/>
  <c r="I9" i="16"/>
  <c r="G11" i="5"/>
  <c r="F11" i="5" s="1"/>
  <c r="Y8" i="5"/>
  <c r="AD8" i="5"/>
  <c r="F62" i="5"/>
  <c r="I76" i="5"/>
  <c r="I20" i="5"/>
  <c r="M8" i="5"/>
  <c r="F70" i="5"/>
  <c r="H20" i="5"/>
  <c r="Q8" i="5"/>
  <c r="T14" i="5"/>
  <c r="E16" i="5"/>
  <c r="AC14" i="5"/>
  <c r="I44" i="5"/>
  <c r="H44" i="5"/>
  <c r="J12" i="5"/>
  <c r="E12" i="5" s="1"/>
  <c r="G16" i="5"/>
  <c r="F16" i="5" s="1"/>
  <c r="Q14" i="5"/>
  <c r="Y14" i="5"/>
  <c r="I24" i="5"/>
  <c r="AC8" i="5"/>
  <c r="W8" i="5"/>
  <c r="I34" i="5"/>
  <c r="H62" i="5"/>
  <c r="H9" i="16"/>
  <c r="F9" i="16"/>
  <c r="F8" i="16" s="1"/>
  <c r="G8" i="16"/>
  <c r="I27" i="16"/>
  <c r="H27" i="16"/>
  <c r="J14" i="5"/>
  <c r="F24" i="5"/>
  <c r="M14" i="5"/>
  <c r="H24" i="5"/>
  <c r="AB14" i="5"/>
  <c r="H34" i="5"/>
  <c r="D19" i="5"/>
  <c r="AE14" i="5"/>
  <c r="AE8" i="5"/>
  <c r="N8" i="5"/>
  <c r="I70" i="5"/>
  <c r="I65" i="5"/>
  <c r="V14" i="5"/>
  <c r="U8" i="5"/>
  <c r="F65" i="5"/>
  <c r="AA8" i="5"/>
  <c r="I21" i="5"/>
  <c r="V8" i="5"/>
  <c r="Z8" i="5"/>
  <c r="F49" i="5"/>
  <c r="H76" i="5"/>
  <c r="H65" i="5"/>
  <c r="T8" i="5"/>
  <c r="N14" i="5"/>
  <c r="U14" i="5"/>
  <c r="H21" i="5"/>
  <c r="F23" i="5"/>
  <c r="H23" i="5"/>
  <c r="G12" i="5"/>
  <c r="F12" i="5" s="1"/>
  <c r="G18" i="5"/>
  <c r="I18" i="5" s="1"/>
  <c r="O14" i="5"/>
  <c r="AB8" i="5"/>
  <c r="I54" i="5"/>
  <c r="K8" i="5"/>
  <c r="H54" i="5"/>
  <c r="R8" i="5"/>
  <c r="I61" i="5"/>
  <c r="F61" i="5"/>
  <c r="G60" i="5"/>
  <c r="H70" i="5"/>
  <c r="G10" i="5"/>
  <c r="F10" i="5" s="1"/>
  <c r="F82" i="5"/>
  <c r="I82" i="5"/>
  <c r="H82" i="5"/>
  <c r="I22" i="5"/>
  <c r="H22" i="5"/>
  <c r="F22" i="5"/>
  <c r="E17" i="5"/>
  <c r="D17" i="5"/>
  <c r="J11" i="5"/>
  <c r="G19" i="5"/>
  <c r="AF14" i="5"/>
  <c r="AF10" i="5"/>
  <c r="AF8" i="5" s="1"/>
  <c r="X14" i="5"/>
  <c r="X10" i="5"/>
  <c r="X8" i="5" s="1"/>
  <c r="O8" i="5"/>
  <c r="I15" i="5"/>
  <c r="H15" i="5"/>
  <c r="F15" i="5"/>
  <c r="D16" i="5"/>
  <c r="P14" i="5"/>
  <c r="P10" i="5"/>
  <c r="Z14" i="5"/>
  <c r="H29" i="5"/>
  <c r="I29" i="5"/>
  <c r="D60" i="5"/>
  <c r="I39" i="5"/>
  <c r="H39" i="5"/>
  <c r="H61" i="5"/>
  <c r="G9" i="5"/>
  <c r="R14" i="5"/>
  <c r="I63" i="5"/>
  <c r="H63" i="5"/>
  <c r="F63" i="5"/>
  <c r="L12" i="5"/>
  <c r="D18" i="5"/>
  <c r="L14" i="5"/>
  <c r="D9" i="5"/>
  <c r="I49" i="5"/>
  <c r="H49" i="5"/>
  <c r="H16" i="5" l="1"/>
  <c r="I16" i="5"/>
  <c r="I8" i="16"/>
  <c r="H8" i="16"/>
  <c r="H60" i="5"/>
  <c r="I60" i="5"/>
  <c r="F60" i="5"/>
  <c r="I10" i="5"/>
  <c r="G14" i="5"/>
  <c r="I12" i="5"/>
  <c r="H18" i="5"/>
  <c r="F19" i="5"/>
  <c r="F18" i="5"/>
  <c r="F14" i="5" s="1"/>
  <c r="I9" i="5"/>
  <c r="G8" i="5"/>
  <c r="H9" i="5"/>
  <c r="F9" i="5"/>
  <c r="F8" i="5" s="1"/>
  <c r="P8" i="5"/>
  <c r="D10" i="5"/>
  <c r="H10" i="5" s="1"/>
  <c r="E11" i="5"/>
  <c r="D11" i="5"/>
  <c r="H11" i="5" s="1"/>
  <c r="J8" i="5"/>
  <c r="D14" i="5"/>
  <c r="H17" i="5"/>
  <c r="E14" i="5"/>
  <c r="I17" i="5"/>
  <c r="L8" i="5"/>
  <c r="D12" i="5"/>
  <c r="H12" i="5" s="1"/>
  <c r="I19" i="5"/>
  <c r="H19" i="5"/>
  <c r="I14" i="5" l="1"/>
  <c r="H14" i="5"/>
  <c r="E8" i="5"/>
  <c r="I8" i="5" s="1"/>
  <c r="I11" i="5"/>
  <c r="D8" i="5"/>
  <c r="H8" i="5" s="1"/>
  <c r="G104" i="1" l="1"/>
  <c r="E104" i="1"/>
  <c r="E103" i="1" s="1"/>
  <c r="D104" i="1"/>
  <c r="D103" i="1" s="1"/>
  <c r="AG103" i="1"/>
  <c r="AF103" i="1"/>
  <c r="AE103" i="1"/>
  <c r="AD103" i="1"/>
  <c r="AC103" i="1"/>
  <c r="AB103" i="1"/>
  <c r="AA103" i="1"/>
  <c r="Z103" i="1"/>
  <c r="Y103" i="1"/>
  <c r="X103" i="1"/>
  <c r="W103" i="1"/>
  <c r="V103" i="1"/>
  <c r="U103" i="1"/>
  <c r="T103" i="1"/>
  <c r="S103" i="1"/>
  <c r="R103" i="1"/>
  <c r="Q103" i="1"/>
  <c r="P103" i="1"/>
  <c r="O103" i="1"/>
  <c r="N103" i="1"/>
  <c r="M103" i="1"/>
  <c r="L103" i="1"/>
  <c r="K103" i="1"/>
  <c r="J103" i="1"/>
  <c r="G102" i="1"/>
  <c r="E101" i="1"/>
  <c r="D102" i="1"/>
  <c r="D101" i="1" s="1"/>
  <c r="AG101" i="1"/>
  <c r="AF101" i="1"/>
  <c r="AE101" i="1"/>
  <c r="AD101" i="1"/>
  <c r="AC101" i="1"/>
  <c r="AB101" i="1"/>
  <c r="AA101" i="1"/>
  <c r="Z101" i="1"/>
  <c r="Y101" i="1"/>
  <c r="X101" i="1"/>
  <c r="W101" i="1"/>
  <c r="V101" i="1"/>
  <c r="U101" i="1"/>
  <c r="T101" i="1"/>
  <c r="S101" i="1"/>
  <c r="R101" i="1"/>
  <c r="Q101" i="1"/>
  <c r="P101" i="1"/>
  <c r="O101" i="1"/>
  <c r="N101" i="1"/>
  <c r="M101" i="1"/>
  <c r="L101" i="1"/>
  <c r="K101" i="1"/>
  <c r="J101" i="1"/>
  <c r="AG100" i="1"/>
  <c r="AG99" i="1" s="1"/>
  <c r="AF100" i="1"/>
  <c r="AE100" i="1"/>
  <c r="AD100" i="1"/>
  <c r="AD99" i="1" s="1"/>
  <c r="AC100" i="1"/>
  <c r="AC99" i="1" s="1"/>
  <c r="AB100" i="1"/>
  <c r="AB99" i="1" s="1"/>
  <c r="AA100" i="1"/>
  <c r="AA99" i="1" s="1"/>
  <c r="Z100" i="1"/>
  <c r="Z99" i="1" s="1"/>
  <c r="Y100" i="1"/>
  <c r="Y99" i="1" s="1"/>
  <c r="X100" i="1"/>
  <c r="X99" i="1" s="1"/>
  <c r="W100" i="1"/>
  <c r="W99" i="1" s="1"/>
  <c r="V100" i="1"/>
  <c r="V99" i="1" s="1"/>
  <c r="U100" i="1"/>
  <c r="U99" i="1" s="1"/>
  <c r="T100" i="1"/>
  <c r="T99" i="1" s="1"/>
  <c r="S100" i="1"/>
  <c r="S99" i="1" s="1"/>
  <c r="R100" i="1"/>
  <c r="R99" i="1" s="1"/>
  <c r="Q100" i="1"/>
  <c r="Q99" i="1" s="1"/>
  <c r="P100" i="1"/>
  <c r="P99" i="1" s="1"/>
  <c r="O100" i="1"/>
  <c r="O99" i="1" s="1"/>
  <c r="N100" i="1"/>
  <c r="N99" i="1" s="1"/>
  <c r="M100" i="1"/>
  <c r="M99" i="1" s="1"/>
  <c r="L100" i="1"/>
  <c r="L99" i="1" s="1"/>
  <c r="K100" i="1"/>
  <c r="J100" i="1"/>
  <c r="AF99" i="1"/>
  <c r="AE99" i="1"/>
  <c r="G97" i="1"/>
  <c r="E97" i="1"/>
  <c r="E96" i="1" s="1"/>
  <c r="D97" i="1"/>
  <c r="D96" i="1" s="1"/>
  <c r="AG96" i="1"/>
  <c r="AF96" i="1"/>
  <c r="AE96" i="1"/>
  <c r="AD96" i="1"/>
  <c r="AC96" i="1"/>
  <c r="AB96" i="1"/>
  <c r="AA96" i="1"/>
  <c r="Z96" i="1"/>
  <c r="Y96" i="1"/>
  <c r="X96" i="1"/>
  <c r="W96" i="1"/>
  <c r="V96" i="1"/>
  <c r="U96" i="1"/>
  <c r="T96" i="1"/>
  <c r="S96" i="1"/>
  <c r="R96" i="1"/>
  <c r="Q96" i="1"/>
  <c r="P96" i="1"/>
  <c r="O96" i="1"/>
  <c r="N96" i="1"/>
  <c r="M96" i="1"/>
  <c r="L96" i="1"/>
  <c r="K96" i="1"/>
  <c r="J96" i="1"/>
  <c r="G95" i="1"/>
  <c r="E94" i="1"/>
  <c r="D95" i="1"/>
  <c r="D94" i="1" s="1"/>
  <c r="AG94" i="1"/>
  <c r="AF94" i="1"/>
  <c r="AE94" i="1"/>
  <c r="AD94" i="1"/>
  <c r="AC94" i="1"/>
  <c r="AB94" i="1"/>
  <c r="AA94" i="1"/>
  <c r="Z94" i="1"/>
  <c r="Y94" i="1"/>
  <c r="X94" i="1"/>
  <c r="W94" i="1"/>
  <c r="V94" i="1"/>
  <c r="U94" i="1"/>
  <c r="T94" i="1"/>
  <c r="S94" i="1"/>
  <c r="R94" i="1"/>
  <c r="Q94" i="1"/>
  <c r="P94" i="1"/>
  <c r="O94" i="1"/>
  <c r="N94" i="1"/>
  <c r="M94" i="1"/>
  <c r="L94" i="1"/>
  <c r="K94" i="1"/>
  <c r="J94" i="1"/>
  <c r="AG93" i="1"/>
  <c r="AF93" i="1"/>
  <c r="AE93" i="1"/>
  <c r="AE92" i="1" s="1"/>
  <c r="AD93" i="1"/>
  <c r="AD92" i="1" s="1"/>
  <c r="AC93" i="1"/>
  <c r="AC92" i="1" s="1"/>
  <c r="AB93" i="1"/>
  <c r="AB92" i="1" s="1"/>
  <c r="AA93" i="1"/>
  <c r="AA92" i="1" s="1"/>
  <c r="Z93" i="1"/>
  <c r="Z92" i="1" s="1"/>
  <c r="Y93" i="1"/>
  <c r="Y92" i="1" s="1"/>
  <c r="X93" i="1"/>
  <c r="X92" i="1" s="1"/>
  <c r="W93" i="1"/>
  <c r="W92" i="1" s="1"/>
  <c r="V93" i="1"/>
  <c r="V92" i="1" s="1"/>
  <c r="U93" i="1"/>
  <c r="U92" i="1" s="1"/>
  <c r="T93" i="1"/>
  <c r="T92" i="1" s="1"/>
  <c r="S93" i="1"/>
  <c r="S92" i="1" s="1"/>
  <c r="R93" i="1"/>
  <c r="R92" i="1" s="1"/>
  <c r="Q93" i="1"/>
  <c r="Q92" i="1" s="1"/>
  <c r="P93" i="1"/>
  <c r="P92" i="1" s="1"/>
  <c r="O93" i="1"/>
  <c r="O92" i="1" s="1"/>
  <c r="N93" i="1"/>
  <c r="N92" i="1" s="1"/>
  <c r="M93" i="1"/>
  <c r="M92" i="1" s="1"/>
  <c r="L93" i="1"/>
  <c r="L92" i="1" s="1"/>
  <c r="K93" i="1"/>
  <c r="K92" i="1" s="1"/>
  <c r="J93" i="1"/>
  <c r="AG92" i="1"/>
  <c r="AF92" i="1"/>
  <c r="G90" i="1"/>
  <c r="E90" i="1"/>
  <c r="E89" i="1" s="1"/>
  <c r="D90" i="1"/>
  <c r="D89" i="1" s="1"/>
  <c r="AG89" i="1"/>
  <c r="AF89" i="1"/>
  <c r="AE89" i="1"/>
  <c r="AD89" i="1"/>
  <c r="AC89" i="1"/>
  <c r="AB89" i="1"/>
  <c r="AA89" i="1"/>
  <c r="Z89" i="1"/>
  <c r="Y89" i="1"/>
  <c r="X89" i="1"/>
  <c r="W89" i="1"/>
  <c r="V89" i="1"/>
  <c r="U89" i="1"/>
  <c r="T89" i="1"/>
  <c r="S89" i="1"/>
  <c r="R89" i="1"/>
  <c r="Q89" i="1"/>
  <c r="P89" i="1"/>
  <c r="O89" i="1"/>
  <c r="N89" i="1"/>
  <c r="M89" i="1"/>
  <c r="L89" i="1"/>
  <c r="K89" i="1"/>
  <c r="J89" i="1"/>
  <c r="G88" i="1"/>
  <c r="E87" i="1"/>
  <c r="D88" i="1"/>
  <c r="D87" i="1" s="1"/>
  <c r="AG87" i="1"/>
  <c r="AF87" i="1"/>
  <c r="AE87" i="1"/>
  <c r="AD87" i="1"/>
  <c r="AC87" i="1"/>
  <c r="AB87" i="1"/>
  <c r="AA87" i="1"/>
  <c r="Z87" i="1"/>
  <c r="Y87" i="1"/>
  <c r="X87" i="1"/>
  <c r="W87" i="1"/>
  <c r="V87" i="1"/>
  <c r="U87" i="1"/>
  <c r="T87" i="1"/>
  <c r="S87" i="1"/>
  <c r="R87" i="1"/>
  <c r="Q87" i="1"/>
  <c r="P87" i="1"/>
  <c r="O87" i="1"/>
  <c r="N87" i="1"/>
  <c r="M87" i="1"/>
  <c r="L87" i="1"/>
  <c r="K87" i="1"/>
  <c r="J87" i="1"/>
  <c r="G86" i="1"/>
  <c r="E85" i="1"/>
  <c r="D86" i="1"/>
  <c r="D85" i="1" s="1"/>
  <c r="AG85" i="1"/>
  <c r="AF85" i="1"/>
  <c r="AE85" i="1"/>
  <c r="AD85" i="1"/>
  <c r="AC85" i="1"/>
  <c r="AB85" i="1"/>
  <c r="AA85" i="1"/>
  <c r="Z85" i="1"/>
  <c r="Y85" i="1"/>
  <c r="X85" i="1"/>
  <c r="W85" i="1"/>
  <c r="V85" i="1"/>
  <c r="U85" i="1"/>
  <c r="T85" i="1"/>
  <c r="S85" i="1"/>
  <c r="R85" i="1"/>
  <c r="Q85" i="1"/>
  <c r="P85" i="1"/>
  <c r="O85" i="1"/>
  <c r="N85" i="1"/>
  <c r="M85" i="1"/>
  <c r="L85" i="1"/>
  <c r="K85" i="1"/>
  <c r="J85" i="1"/>
  <c r="G84" i="1"/>
  <c r="E83" i="1"/>
  <c r="D84" i="1"/>
  <c r="D83" i="1" s="1"/>
  <c r="AG83" i="1"/>
  <c r="AF83" i="1"/>
  <c r="AE83" i="1"/>
  <c r="AD83" i="1"/>
  <c r="AC83" i="1"/>
  <c r="AB83" i="1"/>
  <c r="AA83" i="1"/>
  <c r="Z83" i="1"/>
  <c r="Y83" i="1"/>
  <c r="X83" i="1"/>
  <c r="W83" i="1"/>
  <c r="V83" i="1"/>
  <c r="U83" i="1"/>
  <c r="T83" i="1"/>
  <c r="S83" i="1"/>
  <c r="R83" i="1"/>
  <c r="Q83" i="1"/>
  <c r="P83" i="1"/>
  <c r="O83" i="1"/>
  <c r="N83" i="1"/>
  <c r="M83" i="1"/>
  <c r="L83" i="1"/>
  <c r="K83" i="1"/>
  <c r="J83" i="1"/>
  <c r="G82" i="1"/>
  <c r="E81" i="1"/>
  <c r="D82" i="1"/>
  <c r="D81" i="1" s="1"/>
  <c r="AG81" i="1"/>
  <c r="AF81" i="1"/>
  <c r="AE81" i="1"/>
  <c r="AD81" i="1"/>
  <c r="AC81" i="1"/>
  <c r="AB81" i="1"/>
  <c r="AA81" i="1"/>
  <c r="Z81" i="1"/>
  <c r="Y81" i="1"/>
  <c r="X81" i="1"/>
  <c r="W81" i="1"/>
  <c r="V81" i="1"/>
  <c r="U81" i="1"/>
  <c r="T81" i="1"/>
  <c r="S81" i="1"/>
  <c r="R81" i="1"/>
  <c r="Q81" i="1"/>
  <c r="P81" i="1"/>
  <c r="O81" i="1"/>
  <c r="N81" i="1"/>
  <c r="M81" i="1"/>
  <c r="L81" i="1"/>
  <c r="K81" i="1"/>
  <c r="J81" i="1"/>
  <c r="AG80" i="1"/>
  <c r="AG79" i="1" s="1"/>
  <c r="AF80" i="1"/>
  <c r="AF79" i="1" s="1"/>
  <c r="AE80" i="1"/>
  <c r="AE79" i="1" s="1"/>
  <c r="AD80" i="1"/>
  <c r="AD79" i="1" s="1"/>
  <c r="AC80" i="1"/>
  <c r="AC79" i="1" s="1"/>
  <c r="AB80" i="1"/>
  <c r="AB79" i="1" s="1"/>
  <c r="AA80" i="1"/>
  <c r="AA79" i="1" s="1"/>
  <c r="Z80" i="1"/>
  <c r="Z79" i="1" s="1"/>
  <c r="Y80" i="1"/>
  <c r="Y79" i="1" s="1"/>
  <c r="X80" i="1"/>
  <c r="X79" i="1" s="1"/>
  <c r="W80" i="1"/>
  <c r="W79" i="1" s="1"/>
  <c r="V80" i="1"/>
  <c r="V79" i="1" s="1"/>
  <c r="U80" i="1"/>
  <c r="U79" i="1" s="1"/>
  <c r="T80" i="1"/>
  <c r="T79" i="1" s="1"/>
  <c r="S80" i="1"/>
  <c r="S79" i="1" s="1"/>
  <c r="R80" i="1"/>
  <c r="R79" i="1" s="1"/>
  <c r="Q80" i="1"/>
  <c r="Q79" i="1" s="1"/>
  <c r="P80" i="1"/>
  <c r="P79" i="1" s="1"/>
  <c r="O80" i="1"/>
  <c r="O79" i="1" s="1"/>
  <c r="N80" i="1"/>
  <c r="M80" i="1"/>
  <c r="M79" i="1" s="1"/>
  <c r="L80" i="1"/>
  <c r="L79" i="1" s="1"/>
  <c r="K80" i="1"/>
  <c r="K79" i="1" s="1"/>
  <c r="J80" i="1"/>
  <c r="G78" i="1"/>
  <c r="D78" i="1"/>
  <c r="G76" i="1"/>
  <c r="D76" i="1"/>
  <c r="G75" i="1"/>
  <c r="E75" i="1"/>
  <c r="E74" i="1" s="1"/>
  <c r="D75" i="1"/>
  <c r="AG74" i="1"/>
  <c r="AF74" i="1"/>
  <c r="AE74" i="1"/>
  <c r="AD74" i="1"/>
  <c r="AC74" i="1"/>
  <c r="AB74" i="1"/>
  <c r="AA74" i="1"/>
  <c r="Z74" i="1"/>
  <c r="Y74" i="1"/>
  <c r="X74" i="1"/>
  <c r="W74" i="1"/>
  <c r="V74" i="1"/>
  <c r="U74" i="1"/>
  <c r="T74" i="1"/>
  <c r="S74" i="1"/>
  <c r="R74" i="1"/>
  <c r="Q74" i="1"/>
  <c r="P74" i="1"/>
  <c r="O74" i="1"/>
  <c r="N74" i="1"/>
  <c r="M74" i="1"/>
  <c r="L74" i="1"/>
  <c r="K74" i="1"/>
  <c r="J74" i="1"/>
  <c r="AG73" i="1"/>
  <c r="AF73" i="1"/>
  <c r="AE73" i="1"/>
  <c r="AD73" i="1"/>
  <c r="AC73" i="1"/>
  <c r="AB73" i="1"/>
  <c r="AA73" i="1"/>
  <c r="Z73" i="1"/>
  <c r="Y73" i="1"/>
  <c r="X73" i="1"/>
  <c r="W73" i="1"/>
  <c r="V73" i="1"/>
  <c r="U73" i="1"/>
  <c r="T73" i="1"/>
  <c r="S73" i="1"/>
  <c r="R73" i="1"/>
  <c r="Q73" i="1"/>
  <c r="P73" i="1"/>
  <c r="N73" i="1"/>
  <c r="M73" i="1"/>
  <c r="L73" i="1"/>
  <c r="K73" i="1"/>
  <c r="J73" i="1"/>
  <c r="AG72" i="1"/>
  <c r="AF72" i="1"/>
  <c r="AE72" i="1"/>
  <c r="AD72" i="1"/>
  <c r="AC72" i="1"/>
  <c r="AB72" i="1"/>
  <c r="AA72" i="1"/>
  <c r="Z72" i="1"/>
  <c r="Y72" i="1"/>
  <c r="X72" i="1"/>
  <c r="W72" i="1"/>
  <c r="V72" i="1"/>
  <c r="U72" i="1"/>
  <c r="T72" i="1"/>
  <c r="S72" i="1"/>
  <c r="R72" i="1"/>
  <c r="Q72" i="1"/>
  <c r="P72" i="1"/>
  <c r="O72" i="1"/>
  <c r="N72" i="1"/>
  <c r="M72" i="1"/>
  <c r="L72" i="1"/>
  <c r="K72" i="1"/>
  <c r="J72" i="1"/>
  <c r="AG71" i="1"/>
  <c r="AF71" i="1"/>
  <c r="AE71" i="1"/>
  <c r="AD71" i="1"/>
  <c r="AC71" i="1"/>
  <c r="AB71" i="1"/>
  <c r="AA71" i="1"/>
  <c r="Z71" i="1"/>
  <c r="Y71" i="1"/>
  <c r="X71" i="1"/>
  <c r="W71" i="1"/>
  <c r="V71" i="1"/>
  <c r="U71" i="1"/>
  <c r="T71" i="1"/>
  <c r="S71" i="1"/>
  <c r="R71" i="1"/>
  <c r="Q71" i="1"/>
  <c r="P71" i="1"/>
  <c r="O71" i="1"/>
  <c r="N71" i="1"/>
  <c r="M71" i="1"/>
  <c r="L71" i="1"/>
  <c r="K71" i="1"/>
  <c r="J71" i="1"/>
  <c r="G68" i="1"/>
  <c r="F68" i="1" s="1"/>
  <c r="D68" i="1"/>
  <c r="G67" i="1"/>
  <c r="D67" i="1"/>
  <c r="G66" i="1"/>
  <c r="F66" i="1" s="1"/>
  <c r="D66" i="1"/>
  <c r="AG65" i="1"/>
  <c r="AF65" i="1"/>
  <c r="AE65" i="1"/>
  <c r="AD65" i="1"/>
  <c r="AC65" i="1"/>
  <c r="AB65" i="1"/>
  <c r="AA65" i="1"/>
  <c r="Z65" i="1"/>
  <c r="Y65" i="1"/>
  <c r="X65" i="1"/>
  <c r="W65" i="1"/>
  <c r="V65" i="1"/>
  <c r="U65" i="1"/>
  <c r="T65" i="1"/>
  <c r="S65" i="1"/>
  <c r="R65" i="1"/>
  <c r="Q65" i="1"/>
  <c r="P65" i="1"/>
  <c r="O65" i="1"/>
  <c r="N65" i="1"/>
  <c r="M65" i="1"/>
  <c r="L65" i="1"/>
  <c r="K65" i="1"/>
  <c r="J65" i="1"/>
  <c r="G64" i="1"/>
  <c r="E63" i="1"/>
  <c r="D64" i="1"/>
  <c r="D63" i="1" s="1"/>
  <c r="AG63" i="1"/>
  <c r="AF63" i="1"/>
  <c r="AE63" i="1"/>
  <c r="AD63" i="1"/>
  <c r="AC63" i="1"/>
  <c r="AB63" i="1"/>
  <c r="AA63" i="1"/>
  <c r="Z63" i="1"/>
  <c r="Y63" i="1"/>
  <c r="X63" i="1"/>
  <c r="W63" i="1"/>
  <c r="V63" i="1"/>
  <c r="U63" i="1"/>
  <c r="T63" i="1"/>
  <c r="S63" i="1"/>
  <c r="R63" i="1"/>
  <c r="Q63" i="1"/>
  <c r="P63" i="1"/>
  <c r="O63" i="1"/>
  <c r="N63" i="1"/>
  <c r="M63" i="1"/>
  <c r="L63" i="1"/>
  <c r="K63" i="1"/>
  <c r="J63" i="1"/>
  <c r="G62" i="1"/>
  <c r="G61" i="1" s="1"/>
  <c r="D62" i="1"/>
  <c r="D61" i="1" s="1"/>
  <c r="AG61" i="1"/>
  <c r="AF61" i="1"/>
  <c r="AE61" i="1"/>
  <c r="AD61" i="1"/>
  <c r="AC61" i="1"/>
  <c r="AB61" i="1"/>
  <c r="AA61" i="1"/>
  <c r="Z61" i="1"/>
  <c r="Y61" i="1"/>
  <c r="X61" i="1"/>
  <c r="W61" i="1"/>
  <c r="V61" i="1"/>
  <c r="U61" i="1"/>
  <c r="T61" i="1"/>
  <c r="S61" i="1"/>
  <c r="R61" i="1"/>
  <c r="Q61" i="1"/>
  <c r="P61" i="1"/>
  <c r="O61" i="1"/>
  <c r="N61" i="1"/>
  <c r="M61" i="1"/>
  <c r="L61" i="1"/>
  <c r="K61" i="1"/>
  <c r="J61" i="1"/>
  <c r="AG60" i="1"/>
  <c r="AG58" i="1" s="1"/>
  <c r="AF60" i="1"/>
  <c r="AF58" i="1" s="1"/>
  <c r="AE60" i="1"/>
  <c r="AE58" i="1" s="1"/>
  <c r="AD60" i="1"/>
  <c r="AD58" i="1" s="1"/>
  <c r="AC60" i="1"/>
  <c r="AC58" i="1" s="1"/>
  <c r="AB60" i="1"/>
  <c r="AB58" i="1" s="1"/>
  <c r="AA60" i="1"/>
  <c r="AA58" i="1" s="1"/>
  <c r="Z60" i="1"/>
  <c r="Y60" i="1"/>
  <c r="Y58" i="1" s="1"/>
  <c r="X60" i="1"/>
  <c r="X58" i="1" s="1"/>
  <c r="W60" i="1"/>
  <c r="W58" i="1" s="1"/>
  <c r="V60" i="1"/>
  <c r="V58" i="1" s="1"/>
  <c r="U60" i="1"/>
  <c r="U58" i="1" s="1"/>
  <c r="T60" i="1"/>
  <c r="S60" i="1"/>
  <c r="S58" i="1" s="1"/>
  <c r="R60" i="1"/>
  <c r="R58" i="1" s="1"/>
  <c r="Q60" i="1"/>
  <c r="Q58" i="1" s="1"/>
  <c r="P60" i="1"/>
  <c r="P58" i="1" s="1"/>
  <c r="O60" i="1"/>
  <c r="O58" i="1" s="1"/>
  <c r="N60" i="1"/>
  <c r="N58" i="1" s="1"/>
  <c r="M60" i="1"/>
  <c r="L60" i="1"/>
  <c r="L58" i="1" s="1"/>
  <c r="K60" i="1"/>
  <c r="K58" i="1" s="1"/>
  <c r="J60" i="1"/>
  <c r="G59" i="1"/>
  <c r="E59" i="1"/>
  <c r="D59" i="1"/>
  <c r="G57" i="1"/>
  <c r="E57" i="1"/>
  <c r="D57" i="1"/>
  <c r="G56" i="1"/>
  <c r="F56" i="1" s="1"/>
  <c r="E56" i="1"/>
  <c r="D56" i="1"/>
  <c r="AG55" i="1"/>
  <c r="AF55" i="1"/>
  <c r="AE55" i="1"/>
  <c r="AD55" i="1"/>
  <c r="AC55" i="1"/>
  <c r="AB55" i="1"/>
  <c r="AA55" i="1"/>
  <c r="Z55" i="1"/>
  <c r="Y55" i="1"/>
  <c r="X55" i="1"/>
  <c r="W55" i="1"/>
  <c r="V55" i="1"/>
  <c r="U55" i="1"/>
  <c r="T55" i="1"/>
  <c r="S55" i="1"/>
  <c r="R55" i="1"/>
  <c r="Q55" i="1"/>
  <c r="P55" i="1"/>
  <c r="O55" i="1"/>
  <c r="N55" i="1"/>
  <c r="M55" i="1"/>
  <c r="L55" i="1"/>
  <c r="K55" i="1"/>
  <c r="J55" i="1"/>
  <c r="G54" i="1"/>
  <c r="F54" i="1" s="1"/>
  <c r="E53" i="1"/>
  <c r="D54" i="1"/>
  <c r="D53" i="1" s="1"/>
  <c r="AG53" i="1"/>
  <c r="AF53" i="1"/>
  <c r="AE53" i="1"/>
  <c r="AD53" i="1"/>
  <c r="AC53" i="1"/>
  <c r="AB53" i="1"/>
  <c r="AA53" i="1"/>
  <c r="Z53" i="1"/>
  <c r="Y53" i="1"/>
  <c r="X53" i="1"/>
  <c r="W53" i="1"/>
  <c r="V53" i="1"/>
  <c r="U53" i="1"/>
  <c r="T53" i="1"/>
  <c r="S53" i="1"/>
  <c r="R53" i="1"/>
  <c r="Q53" i="1"/>
  <c r="P53" i="1"/>
  <c r="O53" i="1"/>
  <c r="N53" i="1"/>
  <c r="M53" i="1"/>
  <c r="L53" i="1"/>
  <c r="K53" i="1"/>
  <c r="J53" i="1"/>
  <c r="G52" i="1"/>
  <c r="F52" i="1" s="1"/>
  <c r="E52" i="1"/>
  <c r="D52" i="1"/>
  <c r="G51" i="1"/>
  <c r="D51" i="1"/>
  <c r="AG50" i="1"/>
  <c r="AF50" i="1"/>
  <c r="AE50" i="1"/>
  <c r="AD50" i="1"/>
  <c r="AC50" i="1"/>
  <c r="AB50" i="1"/>
  <c r="AA50" i="1"/>
  <c r="Z50" i="1"/>
  <c r="Y50" i="1"/>
  <c r="X50" i="1"/>
  <c r="W50" i="1"/>
  <c r="V50" i="1"/>
  <c r="U50" i="1"/>
  <c r="T50" i="1"/>
  <c r="S50" i="1"/>
  <c r="R50" i="1"/>
  <c r="Q50" i="1"/>
  <c r="P50" i="1"/>
  <c r="O50" i="1"/>
  <c r="N50" i="1"/>
  <c r="M50" i="1"/>
  <c r="L50" i="1"/>
  <c r="K50" i="1"/>
  <c r="J50" i="1"/>
  <c r="G49" i="1"/>
  <c r="E48" i="1"/>
  <c r="D49" i="1"/>
  <c r="D48" i="1" s="1"/>
  <c r="AG48" i="1"/>
  <c r="AF48" i="1"/>
  <c r="AE48" i="1"/>
  <c r="AD48" i="1"/>
  <c r="AC48" i="1"/>
  <c r="AB48" i="1"/>
  <c r="AA48" i="1"/>
  <c r="Z48" i="1"/>
  <c r="Y48" i="1"/>
  <c r="X48" i="1"/>
  <c r="W48" i="1"/>
  <c r="V48" i="1"/>
  <c r="U48" i="1"/>
  <c r="T48" i="1"/>
  <c r="S48" i="1"/>
  <c r="R48" i="1"/>
  <c r="Q48" i="1"/>
  <c r="P48" i="1"/>
  <c r="O48" i="1"/>
  <c r="N48" i="1"/>
  <c r="M48" i="1"/>
  <c r="L48" i="1"/>
  <c r="K48" i="1"/>
  <c r="J48" i="1"/>
  <c r="E46" i="1"/>
  <c r="D47" i="1"/>
  <c r="D46" i="1" s="1"/>
  <c r="AG46" i="1"/>
  <c r="AF46" i="1"/>
  <c r="AE46" i="1"/>
  <c r="AD46" i="1"/>
  <c r="AC46" i="1"/>
  <c r="AB46" i="1"/>
  <c r="AA46" i="1"/>
  <c r="Z46" i="1"/>
  <c r="Y46" i="1"/>
  <c r="X46" i="1"/>
  <c r="W46" i="1"/>
  <c r="V46" i="1"/>
  <c r="U46" i="1"/>
  <c r="T46" i="1"/>
  <c r="S46" i="1"/>
  <c r="R46" i="1"/>
  <c r="Q46" i="1"/>
  <c r="P46" i="1"/>
  <c r="O46" i="1"/>
  <c r="N46" i="1"/>
  <c r="M46" i="1"/>
  <c r="L46" i="1"/>
  <c r="K46" i="1"/>
  <c r="J46" i="1"/>
  <c r="G42" i="1"/>
  <c r="D45" i="1"/>
  <c r="D43" i="1"/>
  <c r="AG42" i="1"/>
  <c r="AF42" i="1"/>
  <c r="AE42" i="1"/>
  <c r="AD42" i="1"/>
  <c r="AC42" i="1"/>
  <c r="AB42" i="1"/>
  <c r="AA42" i="1"/>
  <c r="Z42" i="1"/>
  <c r="Y42" i="1"/>
  <c r="X42" i="1"/>
  <c r="W42" i="1"/>
  <c r="V42" i="1"/>
  <c r="U42" i="1"/>
  <c r="T42" i="1"/>
  <c r="S42" i="1"/>
  <c r="R42" i="1"/>
  <c r="Q42" i="1"/>
  <c r="P42" i="1"/>
  <c r="O42" i="1"/>
  <c r="N42" i="1"/>
  <c r="M42" i="1"/>
  <c r="L42" i="1"/>
  <c r="K42" i="1"/>
  <c r="AG41" i="1"/>
  <c r="AF41" i="1"/>
  <c r="AE41" i="1"/>
  <c r="AD41" i="1"/>
  <c r="AC41" i="1"/>
  <c r="AB41" i="1"/>
  <c r="AA41" i="1"/>
  <c r="Z41" i="1"/>
  <c r="Y41" i="1"/>
  <c r="X41" i="1"/>
  <c r="W41" i="1"/>
  <c r="V41" i="1"/>
  <c r="U41" i="1"/>
  <c r="T41" i="1"/>
  <c r="T37" i="1" s="1"/>
  <c r="T12" i="1" s="1"/>
  <c r="S41" i="1"/>
  <c r="R41" i="1"/>
  <c r="Q41" i="1"/>
  <c r="P41" i="1"/>
  <c r="O41" i="1"/>
  <c r="N41" i="1"/>
  <c r="M41" i="1"/>
  <c r="L41" i="1"/>
  <c r="K41" i="1"/>
  <c r="J41" i="1"/>
  <c r="AG40" i="1"/>
  <c r="AF40" i="1"/>
  <c r="AE40" i="1"/>
  <c r="AD40" i="1"/>
  <c r="AC40" i="1"/>
  <c r="AB40" i="1"/>
  <c r="AA40" i="1"/>
  <c r="Z40" i="1"/>
  <c r="Y40" i="1"/>
  <c r="X40" i="1"/>
  <c r="W40" i="1"/>
  <c r="V40" i="1"/>
  <c r="U40" i="1"/>
  <c r="T40" i="1"/>
  <c r="T38" i="1" s="1"/>
  <c r="S40" i="1"/>
  <c r="R40" i="1"/>
  <c r="R38" i="1" s="1"/>
  <c r="Q40" i="1"/>
  <c r="P40" i="1"/>
  <c r="O40" i="1"/>
  <c r="N40" i="1"/>
  <c r="N38" i="1" s="1"/>
  <c r="M40" i="1"/>
  <c r="L40" i="1"/>
  <c r="K40" i="1"/>
  <c r="J40" i="1"/>
  <c r="E40" i="1" s="1"/>
  <c r="AG39" i="1"/>
  <c r="AG35" i="1" s="1"/>
  <c r="AF39" i="1"/>
  <c r="AF35" i="1" s="1"/>
  <c r="AE39" i="1"/>
  <c r="AE35" i="1" s="1"/>
  <c r="AD39" i="1"/>
  <c r="AD35" i="1" s="1"/>
  <c r="AC39" i="1"/>
  <c r="AC35" i="1" s="1"/>
  <c r="AB39" i="1"/>
  <c r="AB35" i="1" s="1"/>
  <c r="AA39" i="1"/>
  <c r="AA35" i="1" s="1"/>
  <c r="Z39" i="1"/>
  <c r="Z35" i="1" s="1"/>
  <c r="Y39" i="1"/>
  <c r="Y35" i="1" s="1"/>
  <c r="X39" i="1"/>
  <c r="X35" i="1" s="1"/>
  <c r="W39" i="1"/>
  <c r="W35" i="1" s="1"/>
  <c r="V39" i="1"/>
  <c r="V35" i="1" s="1"/>
  <c r="U39" i="1"/>
  <c r="U35" i="1" s="1"/>
  <c r="T39" i="1"/>
  <c r="T35" i="1" s="1"/>
  <c r="S39" i="1"/>
  <c r="S35" i="1" s="1"/>
  <c r="R39" i="1"/>
  <c r="R35" i="1" s="1"/>
  <c r="Q35" i="1"/>
  <c r="P39" i="1"/>
  <c r="P35" i="1" s="1"/>
  <c r="O39" i="1"/>
  <c r="O35" i="1" s="1"/>
  <c r="N39" i="1"/>
  <c r="N35" i="1" s="1"/>
  <c r="M39" i="1"/>
  <c r="M35" i="1" s="1"/>
  <c r="L39" i="1"/>
  <c r="K39" i="1"/>
  <c r="E39" i="1"/>
  <c r="AG34" i="1"/>
  <c r="AF34" i="1"/>
  <c r="AE34" i="1"/>
  <c r="AD34" i="1"/>
  <c r="AC34" i="1"/>
  <c r="AB34" i="1"/>
  <c r="AA34" i="1"/>
  <c r="Z34" i="1"/>
  <c r="Y34" i="1"/>
  <c r="X34" i="1"/>
  <c r="W34" i="1"/>
  <c r="V34" i="1"/>
  <c r="U34" i="1"/>
  <c r="T34" i="1"/>
  <c r="S34" i="1"/>
  <c r="R34" i="1"/>
  <c r="Q34" i="1"/>
  <c r="P34" i="1"/>
  <c r="O34" i="1"/>
  <c r="N34" i="1"/>
  <c r="M34" i="1"/>
  <c r="L34" i="1"/>
  <c r="K34" i="1"/>
  <c r="J34" i="1"/>
  <c r="E34" i="1" s="1"/>
  <c r="G32" i="1"/>
  <c r="E32" i="1"/>
  <c r="D32" i="1"/>
  <c r="G31" i="1"/>
  <c r="D31" i="1"/>
  <c r="AG30" i="1"/>
  <c r="AF30" i="1"/>
  <c r="AE30" i="1"/>
  <c r="AD30" i="1"/>
  <c r="AC30" i="1"/>
  <c r="AB30" i="1"/>
  <c r="AA30" i="1"/>
  <c r="Z30" i="1"/>
  <c r="Y30" i="1"/>
  <c r="X30" i="1"/>
  <c r="W30" i="1"/>
  <c r="V30" i="1"/>
  <c r="U30" i="1"/>
  <c r="T30" i="1"/>
  <c r="S30" i="1"/>
  <c r="R30" i="1"/>
  <c r="Q30" i="1"/>
  <c r="P30" i="1"/>
  <c r="O30" i="1"/>
  <c r="N30" i="1"/>
  <c r="M30" i="1"/>
  <c r="L30" i="1"/>
  <c r="K30" i="1"/>
  <c r="J30" i="1"/>
  <c r="G29" i="1"/>
  <c r="F29" i="1" s="1"/>
  <c r="D29" i="1"/>
  <c r="G28" i="1"/>
  <c r="F28" i="1" s="1"/>
  <c r="E28" i="1"/>
  <c r="D28" i="1"/>
  <c r="AG27" i="1"/>
  <c r="AF27" i="1"/>
  <c r="AE27" i="1"/>
  <c r="AD27" i="1"/>
  <c r="AC27" i="1"/>
  <c r="AB27" i="1"/>
  <c r="AA27" i="1"/>
  <c r="Z27" i="1"/>
  <c r="Y27" i="1"/>
  <c r="X27" i="1"/>
  <c r="W27" i="1"/>
  <c r="V27" i="1"/>
  <c r="U27" i="1"/>
  <c r="T27" i="1"/>
  <c r="S27" i="1"/>
  <c r="R27" i="1"/>
  <c r="Q27" i="1"/>
  <c r="P27" i="1"/>
  <c r="O27" i="1"/>
  <c r="N27" i="1"/>
  <c r="M27" i="1"/>
  <c r="L27" i="1"/>
  <c r="K27" i="1"/>
  <c r="J27" i="1"/>
  <c r="G26" i="1"/>
  <c r="D26" i="1"/>
  <c r="G25" i="1"/>
  <c r="F25" i="1" s="1"/>
  <c r="D25" i="1"/>
  <c r="G24" i="1"/>
  <c r="F24" i="1" s="1"/>
  <c r="D24" i="1"/>
  <c r="AG23" i="1"/>
  <c r="AF23" i="1"/>
  <c r="AE23" i="1"/>
  <c r="AD23" i="1"/>
  <c r="AC23" i="1"/>
  <c r="AB23" i="1"/>
  <c r="AA23" i="1"/>
  <c r="Z23" i="1"/>
  <c r="Y23" i="1"/>
  <c r="X23" i="1"/>
  <c r="W23" i="1"/>
  <c r="V23" i="1"/>
  <c r="U23" i="1"/>
  <c r="T23" i="1"/>
  <c r="S23" i="1"/>
  <c r="R23" i="1"/>
  <c r="Q23" i="1"/>
  <c r="P23" i="1"/>
  <c r="O23" i="1"/>
  <c r="N23" i="1"/>
  <c r="M23" i="1"/>
  <c r="L23" i="1"/>
  <c r="K23" i="1"/>
  <c r="J23" i="1"/>
  <c r="AG22" i="1"/>
  <c r="AF22" i="1"/>
  <c r="AE22" i="1"/>
  <c r="AD22" i="1"/>
  <c r="AC22" i="1"/>
  <c r="AB22" i="1"/>
  <c r="AA22" i="1"/>
  <c r="Z22" i="1"/>
  <c r="Y22" i="1"/>
  <c r="X22" i="1"/>
  <c r="W22" i="1"/>
  <c r="V22" i="1"/>
  <c r="U22" i="1"/>
  <c r="T22" i="1"/>
  <c r="S22" i="1"/>
  <c r="R22" i="1"/>
  <c r="Q22" i="1"/>
  <c r="P22" i="1"/>
  <c r="O22" i="1"/>
  <c r="N22" i="1"/>
  <c r="M22" i="1"/>
  <c r="L22" i="1"/>
  <c r="K22" i="1"/>
  <c r="J22" i="1"/>
  <c r="AG21" i="1"/>
  <c r="AF21" i="1"/>
  <c r="AE21" i="1"/>
  <c r="AD21" i="1"/>
  <c r="AC21" i="1"/>
  <c r="AB21" i="1"/>
  <c r="AA21" i="1"/>
  <c r="Z21" i="1"/>
  <c r="Y21" i="1"/>
  <c r="X21" i="1"/>
  <c r="W21" i="1"/>
  <c r="V21" i="1"/>
  <c r="U21" i="1"/>
  <c r="T21" i="1"/>
  <c r="S21" i="1"/>
  <c r="R21" i="1"/>
  <c r="Q21" i="1"/>
  <c r="P21" i="1"/>
  <c r="O21" i="1"/>
  <c r="N21" i="1"/>
  <c r="M21" i="1"/>
  <c r="L21" i="1"/>
  <c r="K21" i="1"/>
  <c r="AG20" i="1"/>
  <c r="AF20" i="1"/>
  <c r="AE20" i="1"/>
  <c r="AD20" i="1"/>
  <c r="AC20" i="1"/>
  <c r="AB20" i="1"/>
  <c r="AA20" i="1"/>
  <c r="Z20" i="1"/>
  <c r="Y20" i="1"/>
  <c r="X20" i="1"/>
  <c r="W20" i="1"/>
  <c r="V20" i="1"/>
  <c r="U20" i="1"/>
  <c r="T20" i="1"/>
  <c r="S20" i="1"/>
  <c r="R20" i="1"/>
  <c r="Q20" i="1"/>
  <c r="P20" i="1"/>
  <c r="O20" i="1"/>
  <c r="N20" i="1"/>
  <c r="M20" i="1"/>
  <c r="L20" i="1"/>
  <c r="K20" i="1"/>
  <c r="J20" i="1"/>
  <c r="G18" i="1"/>
  <c r="I18" i="1" s="1"/>
  <c r="G16" i="1"/>
  <c r="D16" i="1"/>
  <c r="G15" i="1"/>
  <c r="F15" i="1" s="1"/>
  <c r="D15" i="1"/>
  <c r="D74" i="1" l="1"/>
  <c r="G74" i="1"/>
  <c r="I74" i="1"/>
  <c r="D42" i="1"/>
  <c r="E21" i="1"/>
  <c r="E22" i="1"/>
  <c r="E100" i="1"/>
  <c r="E99" i="1" s="1"/>
  <c r="E20" i="1"/>
  <c r="E72" i="1"/>
  <c r="E73" i="1"/>
  <c r="E93" i="1"/>
  <c r="E92" i="1" s="1"/>
  <c r="D93" i="1"/>
  <c r="D92" i="1" s="1"/>
  <c r="G14" i="1"/>
  <c r="I14" i="1" s="1"/>
  <c r="I16" i="1"/>
  <c r="J58" i="1"/>
  <c r="E60" i="1"/>
  <c r="E58" i="1" s="1"/>
  <c r="N79" i="1"/>
  <c r="E80" i="1"/>
  <c r="E79" i="1" s="1"/>
  <c r="K37" i="1"/>
  <c r="K38" i="1"/>
  <c r="O38" i="1"/>
  <c r="S37" i="1"/>
  <c r="S12" i="1" s="1"/>
  <c r="S38" i="1"/>
  <c r="W38" i="1"/>
  <c r="AA37" i="1"/>
  <c r="AA12" i="1" s="1"/>
  <c r="AA38" i="1"/>
  <c r="AE37" i="1"/>
  <c r="AE12" i="1" s="1"/>
  <c r="AE38" i="1"/>
  <c r="D14" i="1"/>
  <c r="L35" i="1"/>
  <c r="L10" i="1" s="1"/>
  <c r="D39" i="1"/>
  <c r="L37" i="1"/>
  <c r="L12" i="1" s="1"/>
  <c r="L38" i="1"/>
  <c r="P38" i="1"/>
  <c r="X37" i="1"/>
  <c r="X12" i="1" s="1"/>
  <c r="X38" i="1"/>
  <c r="AB37" i="1"/>
  <c r="AB12" i="1" s="1"/>
  <c r="AB38" i="1"/>
  <c r="AF37" i="1"/>
  <c r="AF12" i="1" s="1"/>
  <c r="AF38" i="1"/>
  <c r="M38" i="1"/>
  <c r="Q37" i="1"/>
  <c r="Q12" i="1" s="1"/>
  <c r="Q38" i="1"/>
  <c r="U38" i="1"/>
  <c r="Y37" i="1"/>
  <c r="Y12" i="1" s="1"/>
  <c r="Y38" i="1"/>
  <c r="AC37" i="1"/>
  <c r="AC12" i="1" s="1"/>
  <c r="AC38" i="1"/>
  <c r="AG37" i="1"/>
  <c r="AG12" i="1" s="1"/>
  <c r="AG38" i="1"/>
  <c r="V38" i="1"/>
  <c r="Z38" i="1"/>
  <c r="AD37" i="1"/>
  <c r="AD12" i="1" s="1"/>
  <c r="AD38" i="1"/>
  <c r="F16" i="1"/>
  <c r="AA9" i="1"/>
  <c r="M37" i="1"/>
  <c r="M12" i="1" s="1"/>
  <c r="J35" i="1"/>
  <c r="E35" i="1" s="1"/>
  <c r="J36" i="1"/>
  <c r="E36" i="1" s="1"/>
  <c r="H18" i="1"/>
  <c r="E50" i="1"/>
  <c r="I102" i="1"/>
  <c r="I104" i="1"/>
  <c r="N9" i="1"/>
  <c r="AD9" i="1"/>
  <c r="AD10" i="1"/>
  <c r="R36" i="1"/>
  <c r="R11" i="1" s="1"/>
  <c r="L36" i="1"/>
  <c r="AF36" i="1"/>
  <c r="W19" i="1"/>
  <c r="AB9" i="1"/>
  <c r="I54" i="1"/>
  <c r="M36" i="1"/>
  <c r="M11" i="1" s="1"/>
  <c r="N19" i="1"/>
  <c r="M58" i="1"/>
  <c r="AA19" i="1"/>
  <c r="T9" i="1"/>
  <c r="X9" i="1"/>
  <c r="AF9" i="1"/>
  <c r="O9" i="1"/>
  <c r="AG10" i="1"/>
  <c r="E55" i="1"/>
  <c r="G55" i="1"/>
  <c r="V19" i="1"/>
  <c r="Z9" i="1"/>
  <c r="U9" i="1"/>
  <c r="Y9" i="1"/>
  <c r="AG9" i="1"/>
  <c r="AC36" i="1"/>
  <c r="AC11" i="1" s="1"/>
  <c r="M70" i="1"/>
  <c r="L70" i="1"/>
  <c r="I59" i="1"/>
  <c r="E65" i="1"/>
  <c r="G100" i="1"/>
  <c r="Y36" i="1"/>
  <c r="AB70" i="1"/>
  <c r="T10" i="1"/>
  <c r="G65" i="1"/>
  <c r="I97" i="1"/>
  <c r="E23" i="1"/>
  <c r="G53" i="1"/>
  <c r="H53" i="1" s="1"/>
  <c r="V36" i="1"/>
  <c r="V11" i="1" s="1"/>
  <c r="AD36" i="1"/>
  <c r="AF10" i="1"/>
  <c r="H26" i="1"/>
  <c r="F18" i="1"/>
  <c r="AE36" i="1"/>
  <c r="AE11" i="1" s="1"/>
  <c r="Y70" i="1"/>
  <c r="AG70" i="1"/>
  <c r="S9" i="1"/>
  <c r="AE9" i="1"/>
  <c r="S10" i="1"/>
  <c r="I76" i="1"/>
  <c r="I86" i="1"/>
  <c r="S19" i="1"/>
  <c r="AE19" i="1"/>
  <c r="U37" i="1"/>
  <c r="U12" i="1" s="1"/>
  <c r="Q70" i="1"/>
  <c r="AC70" i="1"/>
  <c r="I78" i="1"/>
  <c r="V9" i="1"/>
  <c r="J38" i="1"/>
  <c r="K9" i="1"/>
  <c r="W9" i="1"/>
  <c r="K19" i="1"/>
  <c r="D27" i="1"/>
  <c r="T36" i="1"/>
  <c r="T33" i="1" s="1"/>
  <c r="I64" i="1"/>
  <c r="AF70" i="1"/>
  <c r="U10" i="1"/>
  <c r="G34" i="1"/>
  <c r="I34" i="1" s="1"/>
  <c r="Y10" i="1"/>
  <c r="N10" i="1"/>
  <c r="Z19" i="1"/>
  <c r="Y19" i="1"/>
  <c r="T58" i="1"/>
  <c r="M10" i="1"/>
  <c r="O19" i="1"/>
  <c r="G103" i="1"/>
  <c r="H103" i="1" s="1"/>
  <c r="P36" i="1"/>
  <c r="P11" i="1" s="1"/>
  <c r="AB36" i="1"/>
  <c r="AB11" i="1" s="1"/>
  <c r="D55" i="1"/>
  <c r="Q10" i="1"/>
  <c r="AC10" i="1"/>
  <c r="AB19" i="1"/>
  <c r="G40" i="1"/>
  <c r="I40" i="1" s="1"/>
  <c r="S70" i="1"/>
  <c r="AE70" i="1"/>
  <c r="T70" i="1"/>
  <c r="U70" i="1"/>
  <c r="P70" i="1"/>
  <c r="X70" i="1"/>
  <c r="I75" i="1"/>
  <c r="F27" i="1"/>
  <c r="D34" i="1"/>
  <c r="AE10" i="1"/>
  <c r="R19" i="1"/>
  <c r="I68" i="1"/>
  <c r="I88" i="1"/>
  <c r="AG36" i="1"/>
  <c r="Z37" i="1"/>
  <c r="I43" i="1"/>
  <c r="G60" i="1"/>
  <c r="G58" i="1" s="1"/>
  <c r="W36" i="1"/>
  <c r="W11" i="1" s="1"/>
  <c r="G72" i="1"/>
  <c r="I95" i="1"/>
  <c r="AD19" i="1"/>
  <c r="D30" i="1"/>
  <c r="R10" i="1"/>
  <c r="D50" i="1"/>
  <c r="I61" i="1"/>
  <c r="V70" i="1"/>
  <c r="I84" i="1"/>
  <c r="AG19" i="1"/>
  <c r="E30" i="1"/>
  <c r="K70" i="1"/>
  <c r="W70" i="1"/>
  <c r="U19" i="1"/>
  <c r="V10" i="1"/>
  <c r="N37" i="1"/>
  <c r="N36" i="1"/>
  <c r="N11" i="1" s="1"/>
  <c r="Z36" i="1"/>
  <c r="Z11" i="1" s="1"/>
  <c r="G80" i="1"/>
  <c r="G79" i="1" s="1"/>
  <c r="H32" i="1"/>
  <c r="L9" i="1"/>
  <c r="X10" i="1"/>
  <c r="Q36" i="1"/>
  <c r="Q11" i="1" s="1"/>
  <c r="O37" i="1"/>
  <c r="O12" i="1" s="1"/>
  <c r="I52" i="1"/>
  <c r="O36" i="1"/>
  <c r="O11" i="1" s="1"/>
  <c r="AA36" i="1"/>
  <c r="AA11" i="1" s="1"/>
  <c r="I62" i="1"/>
  <c r="I66" i="1"/>
  <c r="G73" i="1"/>
  <c r="I73" i="1" s="1"/>
  <c r="I90" i="1"/>
  <c r="J9" i="1"/>
  <c r="H24" i="1"/>
  <c r="E27" i="1"/>
  <c r="R9" i="1"/>
  <c r="M9" i="1"/>
  <c r="X19" i="1"/>
  <c r="P37" i="1"/>
  <c r="P12" i="1" s="1"/>
  <c r="I56" i="1"/>
  <c r="D65" i="1"/>
  <c r="N70" i="1"/>
  <c r="Z70" i="1"/>
  <c r="G22" i="1"/>
  <c r="I22" i="1" s="1"/>
  <c r="U36" i="1"/>
  <c r="G39" i="1"/>
  <c r="F39" i="1" s="1"/>
  <c r="O70" i="1"/>
  <c r="AA70" i="1"/>
  <c r="O10" i="1"/>
  <c r="D23" i="1"/>
  <c r="G63" i="1"/>
  <c r="I63" i="1" s="1"/>
  <c r="I67" i="1"/>
  <c r="R70" i="1"/>
  <c r="AD70" i="1"/>
  <c r="G93" i="1"/>
  <c r="Z10" i="1"/>
  <c r="AA10" i="1"/>
  <c r="P9" i="1"/>
  <c r="AB10" i="1"/>
  <c r="D40" i="1"/>
  <c r="X36" i="1"/>
  <c r="X11" i="1" s="1"/>
  <c r="I57" i="1"/>
  <c r="I82" i="1"/>
  <c r="P10" i="1"/>
  <c r="G20" i="1"/>
  <c r="G23" i="1"/>
  <c r="F26" i="1"/>
  <c r="F23" i="1" s="1"/>
  <c r="E41" i="1"/>
  <c r="E38" i="1" s="1"/>
  <c r="D41" i="1"/>
  <c r="G46" i="1"/>
  <c r="I47" i="1"/>
  <c r="H47" i="1"/>
  <c r="D73" i="1"/>
  <c r="J70" i="1"/>
  <c r="D100" i="1"/>
  <c r="D99" i="1" s="1"/>
  <c r="J99" i="1"/>
  <c r="G41" i="1"/>
  <c r="I15" i="1"/>
  <c r="I29" i="1"/>
  <c r="H29" i="1"/>
  <c r="F32" i="1"/>
  <c r="D21" i="1"/>
  <c r="G48" i="1"/>
  <c r="I49" i="1"/>
  <c r="H49" i="1"/>
  <c r="F49" i="1"/>
  <c r="H15" i="1"/>
  <c r="G21" i="1"/>
  <c r="I24" i="1"/>
  <c r="D80" i="1"/>
  <c r="D79" i="1" s="1"/>
  <c r="J79" i="1"/>
  <c r="I32" i="1"/>
  <c r="Q19" i="1"/>
  <c r="G27" i="1"/>
  <c r="R37" i="1"/>
  <c r="I26" i="1"/>
  <c r="J19" i="1"/>
  <c r="L19" i="1"/>
  <c r="D22" i="1"/>
  <c r="AC19" i="1"/>
  <c r="H16" i="1"/>
  <c r="M19" i="1"/>
  <c r="W10" i="1"/>
  <c r="G30" i="1"/>
  <c r="S36" i="1"/>
  <c r="I51" i="1"/>
  <c r="H51" i="1"/>
  <c r="F51" i="1"/>
  <c r="F50" i="1" s="1"/>
  <c r="D60" i="1"/>
  <c r="D58" i="1" s="1"/>
  <c r="AF19" i="1"/>
  <c r="I31" i="1"/>
  <c r="H31" i="1"/>
  <c r="T19" i="1"/>
  <c r="P19" i="1"/>
  <c r="AC9" i="1"/>
  <c r="I25" i="1"/>
  <c r="H25" i="1"/>
  <c r="I28" i="1"/>
  <c r="K35" i="1"/>
  <c r="G35" i="1" s="1"/>
  <c r="J37" i="1"/>
  <c r="V37" i="1"/>
  <c r="I45" i="1"/>
  <c r="H45" i="1"/>
  <c r="F45" i="1"/>
  <c r="F42" i="1" s="1"/>
  <c r="E71" i="1"/>
  <c r="D71" i="1"/>
  <c r="D72" i="1"/>
  <c r="J92" i="1"/>
  <c r="D20" i="1"/>
  <c r="Q9" i="1"/>
  <c r="H28" i="1"/>
  <c r="F31" i="1"/>
  <c r="W37" i="1"/>
  <c r="F57" i="1"/>
  <c r="F55" i="1" s="1"/>
  <c r="F59" i="1"/>
  <c r="F61" i="1"/>
  <c r="F67" i="1"/>
  <c r="F65" i="1" s="1"/>
  <c r="F76" i="1"/>
  <c r="G81" i="1"/>
  <c r="G83" i="1"/>
  <c r="G85" i="1"/>
  <c r="G87" i="1"/>
  <c r="G89" i="1"/>
  <c r="G94" i="1"/>
  <c r="G96" i="1"/>
  <c r="G101" i="1"/>
  <c r="H57" i="1"/>
  <c r="H67" i="1"/>
  <c r="H76" i="1"/>
  <c r="Z58" i="1"/>
  <c r="H59" i="1"/>
  <c r="H61" i="1"/>
  <c r="K36" i="1"/>
  <c r="K99" i="1"/>
  <c r="F62" i="1"/>
  <c r="F64" i="1"/>
  <c r="F75" i="1"/>
  <c r="F78" i="1"/>
  <c r="F82" i="1"/>
  <c r="F81" i="1" s="1"/>
  <c r="F84" i="1"/>
  <c r="F83" i="1" s="1"/>
  <c r="F86" i="1"/>
  <c r="F85" i="1" s="1"/>
  <c r="F88" i="1"/>
  <c r="F87" i="1" s="1"/>
  <c r="F90" i="1"/>
  <c r="F89" i="1" s="1"/>
  <c r="F95" i="1"/>
  <c r="F94" i="1" s="1"/>
  <c r="F97" i="1"/>
  <c r="F96" i="1" s="1"/>
  <c r="F102" i="1"/>
  <c r="F101" i="1" s="1"/>
  <c r="F104" i="1"/>
  <c r="F103" i="1" s="1"/>
  <c r="G71" i="1"/>
  <c r="H43" i="1"/>
  <c r="H52" i="1"/>
  <c r="H54" i="1"/>
  <c r="H56" i="1"/>
  <c r="H62" i="1"/>
  <c r="H64" i="1"/>
  <c r="H66" i="1"/>
  <c r="H68" i="1"/>
  <c r="H75" i="1"/>
  <c r="H78" i="1"/>
  <c r="H82" i="1"/>
  <c r="H84" i="1"/>
  <c r="H86" i="1"/>
  <c r="H88" i="1"/>
  <c r="H90" i="1"/>
  <c r="H95" i="1"/>
  <c r="H97" i="1"/>
  <c r="H102" i="1"/>
  <c r="H104" i="1"/>
  <c r="G50" i="1"/>
  <c r="H74" i="1" l="1"/>
  <c r="F74" i="1"/>
  <c r="E19" i="1"/>
  <c r="J11" i="1"/>
  <c r="AG33" i="1"/>
  <c r="I72" i="1"/>
  <c r="I42" i="1"/>
  <c r="AD33" i="1"/>
  <c r="Y33" i="1"/>
  <c r="E9" i="1"/>
  <c r="G92" i="1"/>
  <c r="H92" i="1" s="1"/>
  <c r="I93" i="1"/>
  <c r="L33" i="1"/>
  <c r="AB33" i="1"/>
  <c r="H14" i="1"/>
  <c r="F100" i="1"/>
  <c r="F99" i="1" s="1"/>
  <c r="I100" i="1"/>
  <c r="AF33" i="1"/>
  <c r="F53" i="1"/>
  <c r="D38" i="1"/>
  <c r="F14" i="1"/>
  <c r="H42" i="1"/>
  <c r="J10" i="1"/>
  <c r="E10" i="1" s="1"/>
  <c r="AF11" i="1"/>
  <c r="AF8" i="1" s="1"/>
  <c r="I53" i="1"/>
  <c r="AD11" i="1"/>
  <c r="AD8" i="1" s="1"/>
  <c r="H65" i="1"/>
  <c r="D35" i="1"/>
  <c r="H35" i="1" s="1"/>
  <c r="Y11" i="1"/>
  <c r="Y8" i="1" s="1"/>
  <c r="AA33" i="1"/>
  <c r="AE33" i="1"/>
  <c r="F60" i="1"/>
  <c r="F58" i="1" s="1"/>
  <c r="M33" i="1"/>
  <c r="U33" i="1"/>
  <c r="I65" i="1"/>
  <c r="F93" i="1"/>
  <c r="F92" i="1" s="1"/>
  <c r="AC33" i="1"/>
  <c r="U11" i="1"/>
  <c r="U8" i="1" s="1"/>
  <c r="I55" i="1"/>
  <c r="F40" i="1"/>
  <c r="AG11" i="1"/>
  <c r="AG8" i="1" s="1"/>
  <c r="Q33" i="1"/>
  <c r="P33" i="1"/>
  <c r="H55" i="1"/>
  <c r="L11" i="1"/>
  <c r="L8" i="1" s="1"/>
  <c r="X8" i="1"/>
  <c r="F80" i="1"/>
  <c r="F79" i="1" s="1"/>
  <c r="G99" i="1"/>
  <c r="I99" i="1" s="1"/>
  <c r="F72" i="1"/>
  <c r="M8" i="1"/>
  <c r="F22" i="1"/>
  <c r="H39" i="1"/>
  <c r="AE8" i="1"/>
  <c r="AB8" i="1"/>
  <c r="G70" i="1"/>
  <c r="T11" i="1"/>
  <c r="T8" i="1" s="1"/>
  <c r="I39" i="1"/>
  <c r="D9" i="1"/>
  <c r="AA8" i="1"/>
  <c r="H60" i="1"/>
  <c r="O8" i="1"/>
  <c r="H80" i="1"/>
  <c r="P8" i="1"/>
  <c r="F34" i="1"/>
  <c r="H34" i="1"/>
  <c r="G19" i="1"/>
  <c r="O33" i="1"/>
  <c r="I103" i="1"/>
  <c r="I80" i="1"/>
  <c r="D36" i="1"/>
  <c r="H40" i="1"/>
  <c r="D19" i="1"/>
  <c r="F73" i="1"/>
  <c r="H100" i="1"/>
  <c r="X33" i="1"/>
  <c r="H73" i="1"/>
  <c r="N12" i="1"/>
  <c r="N8" i="1" s="1"/>
  <c r="N33" i="1"/>
  <c r="H63" i="1"/>
  <c r="Z12" i="1"/>
  <c r="Z8" i="1" s="1"/>
  <c r="Z33" i="1"/>
  <c r="F63" i="1"/>
  <c r="H93" i="1"/>
  <c r="D70" i="1"/>
  <c r="AC8" i="1"/>
  <c r="I94" i="1"/>
  <c r="H94" i="1"/>
  <c r="I46" i="1"/>
  <c r="H46" i="1"/>
  <c r="F46" i="1"/>
  <c r="I35" i="1"/>
  <c r="F35" i="1"/>
  <c r="S11" i="1"/>
  <c r="S8" i="1" s="1"/>
  <c r="S33" i="1"/>
  <c r="I21" i="1"/>
  <c r="H21" i="1"/>
  <c r="F21" i="1"/>
  <c r="I85" i="1"/>
  <c r="H85" i="1"/>
  <c r="K12" i="1"/>
  <c r="K33" i="1"/>
  <c r="G37" i="1"/>
  <c r="I30" i="1"/>
  <c r="H30" i="1"/>
  <c r="I23" i="1"/>
  <c r="H23" i="1"/>
  <c r="H22" i="1"/>
  <c r="I96" i="1"/>
  <c r="H96" i="1"/>
  <c r="I48" i="1"/>
  <c r="H48" i="1"/>
  <c r="F48" i="1"/>
  <c r="W12" i="1"/>
  <c r="W8" i="1" s="1"/>
  <c r="W33" i="1"/>
  <c r="H72" i="1"/>
  <c r="I83" i="1"/>
  <c r="H83" i="1"/>
  <c r="I20" i="1"/>
  <c r="F20" i="1"/>
  <c r="H20" i="1"/>
  <c r="I41" i="1"/>
  <c r="H41" i="1"/>
  <c r="F41" i="1"/>
  <c r="G38" i="1"/>
  <c r="I50" i="1"/>
  <c r="H50" i="1"/>
  <c r="I81" i="1"/>
  <c r="H81" i="1"/>
  <c r="I71" i="1"/>
  <c r="H71" i="1"/>
  <c r="F71" i="1"/>
  <c r="I79" i="1"/>
  <c r="H79" i="1"/>
  <c r="K10" i="1"/>
  <c r="I89" i="1"/>
  <c r="H89" i="1"/>
  <c r="I58" i="1"/>
  <c r="H58" i="1"/>
  <c r="R12" i="1"/>
  <c r="R8" i="1" s="1"/>
  <c r="R33" i="1"/>
  <c r="E70" i="1"/>
  <c r="I92" i="1"/>
  <c r="Q8" i="1"/>
  <c r="V12" i="1"/>
  <c r="V8" i="1" s="1"/>
  <c r="V33" i="1"/>
  <c r="I60" i="1"/>
  <c r="G9" i="1"/>
  <c r="I87" i="1"/>
  <c r="H87" i="1"/>
  <c r="K11" i="1"/>
  <c r="G36" i="1"/>
  <c r="I101" i="1"/>
  <c r="H101" i="1"/>
  <c r="E37" i="1"/>
  <c r="E33" i="1" s="1"/>
  <c r="J33" i="1"/>
  <c r="D37" i="1"/>
  <c r="J12" i="1"/>
  <c r="I27" i="1"/>
  <c r="H27" i="1"/>
  <c r="F30" i="1"/>
  <c r="I22" i="10"/>
  <c r="H22" i="10"/>
  <c r="I21" i="10"/>
  <c r="H21" i="10"/>
  <c r="I15" i="10"/>
  <c r="H15" i="10"/>
  <c r="I14" i="10"/>
  <c r="H14" i="10"/>
  <c r="I9" i="10"/>
  <c r="H9" i="10"/>
  <c r="I27" i="11"/>
  <c r="H27" i="11"/>
  <c r="I26" i="11"/>
  <c r="H26" i="11"/>
  <c r="I25" i="11"/>
  <c r="H25" i="11"/>
  <c r="I22" i="11"/>
  <c r="H22" i="11"/>
  <c r="I21" i="11"/>
  <c r="H21" i="11"/>
  <c r="I20" i="11"/>
  <c r="H20" i="11"/>
  <c r="I19" i="11"/>
  <c r="H19" i="11"/>
  <c r="I18" i="11"/>
  <c r="H18" i="11"/>
  <c r="I17" i="11"/>
  <c r="H17" i="11"/>
  <c r="I16" i="11"/>
  <c r="H16" i="11"/>
  <c r="I15" i="11"/>
  <c r="H15" i="11"/>
  <c r="I14" i="11"/>
  <c r="H14" i="11"/>
  <c r="I27" i="18"/>
  <c r="H27" i="18"/>
  <c r="I26" i="18"/>
  <c r="H26" i="18"/>
  <c r="I25" i="18"/>
  <c r="H25" i="18"/>
  <c r="I24" i="18"/>
  <c r="H24" i="18"/>
  <c r="I18" i="18"/>
  <c r="H18" i="18"/>
  <c r="I17" i="18"/>
  <c r="H17" i="18"/>
  <c r="I16" i="18"/>
  <c r="H16" i="18"/>
  <c r="I15" i="18"/>
  <c r="H15" i="18"/>
  <c r="I14" i="18"/>
  <c r="H14" i="18"/>
  <c r="I13" i="18"/>
  <c r="H13" i="18"/>
  <c r="I12" i="18"/>
  <c r="H12" i="18"/>
  <c r="I31" i="18"/>
  <c r="H31" i="18"/>
  <c r="I30" i="18"/>
  <c r="H30" i="18"/>
  <c r="I29" i="18"/>
  <c r="H29" i="18"/>
  <c r="I13" i="10"/>
  <c r="D13" i="10"/>
  <c r="H13" i="10" s="1"/>
  <c r="I19" i="1" l="1"/>
  <c r="E12" i="1"/>
  <c r="E11" i="1"/>
  <c r="D10" i="1"/>
  <c r="H99" i="1"/>
  <c r="F38" i="1"/>
  <c r="D11" i="1"/>
  <c r="F70" i="1"/>
  <c r="H70" i="1"/>
  <c r="I70" i="1"/>
  <c r="H19" i="1"/>
  <c r="D33" i="1"/>
  <c r="F19" i="1"/>
  <c r="G11" i="1"/>
  <c r="I9" i="1"/>
  <c r="H9" i="1"/>
  <c r="F9" i="1"/>
  <c r="D12" i="1"/>
  <c r="J8" i="1"/>
  <c r="G10" i="1"/>
  <c r="K8" i="1"/>
  <c r="I38" i="1"/>
  <c r="H38" i="1"/>
  <c r="I37" i="1"/>
  <c r="H37" i="1"/>
  <c r="F37" i="1"/>
  <c r="G33" i="1"/>
  <c r="G12" i="1"/>
  <c r="I36" i="1"/>
  <c r="H36" i="1"/>
  <c r="F36" i="1"/>
  <c r="G38" i="10"/>
  <c r="E38" i="10"/>
  <c r="D38" i="10"/>
  <c r="D37" i="10" s="1"/>
  <c r="AG37" i="10"/>
  <c r="AF37" i="10"/>
  <c r="AE37" i="10"/>
  <c r="AD37" i="10"/>
  <c r="AC37" i="10"/>
  <c r="AB37" i="10"/>
  <c r="AA37" i="10"/>
  <c r="Z37" i="10"/>
  <c r="Y37" i="10"/>
  <c r="X37" i="10"/>
  <c r="W37" i="10"/>
  <c r="V37" i="10"/>
  <c r="U37" i="10"/>
  <c r="T37" i="10"/>
  <c r="S37" i="10"/>
  <c r="R37" i="10"/>
  <c r="Q37" i="10"/>
  <c r="P37" i="10"/>
  <c r="O37" i="10"/>
  <c r="N37" i="10"/>
  <c r="M37" i="10"/>
  <c r="L37" i="10"/>
  <c r="K37" i="10"/>
  <c r="J37" i="10"/>
  <c r="E37" i="10"/>
  <c r="G35" i="10"/>
  <c r="F35" i="10" s="1"/>
  <c r="F34" i="10" s="1"/>
  <c r="E35" i="10"/>
  <c r="D35" i="10"/>
  <c r="AG34" i="10"/>
  <c r="AF34" i="10"/>
  <c r="AE34" i="10"/>
  <c r="AD34" i="10"/>
  <c r="AC34" i="10"/>
  <c r="AB34" i="10"/>
  <c r="AA34" i="10"/>
  <c r="Z34" i="10"/>
  <c r="Y34" i="10"/>
  <c r="X34" i="10"/>
  <c r="W34" i="10"/>
  <c r="V34" i="10"/>
  <c r="U34" i="10"/>
  <c r="T34" i="10"/>
  <c r="S34" i="10"/>
  <c r="R34" i="10"/>
  <c r="Q34" i="10"/>
  <c r="P34" i="10"/>
  <c r="O34" i="10"/>
  <c r="N34" i="10"/>
  <c r="M34" i="10"/>
  <c r="L34" i="10"/>
  <c r="K34" i="10"/>
  <c r="J34" i="10"/>
  <c r="E34" i="10"/>
  <c r="D34" i="10"/>
  <c r="G33" i="10"/>
  <c r="E33" i="10"/>
  <c r="D33" i="10"/>
  <c r="D32" i="10" s="1"/>
  <c r="AG32" i="10"/>
  <c r="AF32" i="10"/>
  <c r="AE32" i="10"/>
  <c r="AD32" i="10"/>
  <c r="AC32" i="10"/>
  <c r="AB32" i="10"/>
  <c r="AA32" i="10"/>
  <c r="Z32" i="10"/>
  <c r="Y32" i="10"/>
  <c r="X32" i="10"/>
  <c r="W32" i="10"/>
  <c r="V32" i="10"/>
  <c r="U32" i="10"/>
  <c r="T32" i="10"/>
  <c r="S32" i="10"/>
  <c r="R32" i="10"/>
  <c r="Q32" i="10"/>
  <c r="P32" i="10"/>
  <c r="O32" i="10"/>
  <c r="N32" i="10"/>
  <c r="M32" i="10"/>
  <c r="L32" i="10"/>
  <c r="K32" i="10"/>
  <c r="J32" i="10"/>
  <c r="E32" i="10"/>
  <c r="G31" i="10"/>
  <c r="E31" i="10"/>
  <c r="D31" i="10"/>
  <c r="AG30" i="10"/>
  <c r="AF30" i="10"/>
  <c r="AE30" i="10"/>
  <c r="AD30" i="10"/>
  <c r="AC30" i="10"/>
  <c r="AB30" i="10"/>
  <c r="AA30" i="10"/>
  <c r="Z30" i="10"/>
  <c r="Y30" i="10"/>
  <c r="X30" i="10"/>
  <c r="W30" i="10"/>
  <c r="V30" i="10"/>
  <c r="U30" i="10"/>
  <c r="T30" i="10"/>
  <c r="S30" i="10"/>
  <c r="R30" i="10"/>
  <c r="Q30" i="10"/>
  <c r="P30" i="10"/>
  <c r="O30" i="10"/>
  <c r="N30" i="10"/>
  <c r="M30" i="10"/>
  <c r="L30" i="10"/>
  <c r="K30" i="10"/>
  <c r="J30" i="10"/>
  <c r="E30" i="10"/>
  <c r="D30" i="10"/>
  <c r="D29" i="10"/>
  <c r="D28" i="10" s="1"/>
  <c r="AG28" i="10"/>
  <c r="AF28" i="10"/>
  <c r="AE28" i="10"/>
  <c r="AD28" i="10"/>
  <c r="AC28" i="10"/>
  <c r="AB28" i="10"/>
  <c r="AA28" i="10"/>
  <c r="Z28" i="10"/>
  <c r="Y28" i="10"/>
  <c r="X28" i="10"/>
  <c r="W28" i="10"/>
  <c r="V28" i="10"/>
  <c r="U28" i="10"/>
  <c r="T28" i="10"/>
  <c r="S28" i="10"/>
  <c r="R28" i="10"/>
  <c r="Q28" i="10"/>
  <c r="P28" i="10"/>
  <c r="O28" i="10"/>
  <c r="N28" i="10"/>
  <c r="M28" i="10"/>
  <c r="L28" i="10"/>
  <c r="K28" i="10"/>
  <c r="J28" i="10"/>
  <c r="E28" i="10"/>
  <c r="G26" i="10"/>
  <c r="F26" i="10"/>
  <c r="F25" i="10" s="1"/>
  <c r="E26" i="10"/>
  <c r="D26" i="10"/>
  <c r="AG25" i="10"/>
  <c r="AF25" i="10"/>
  <c r="AE25" i="10"/>
  <c r="AD25" i="10"/>
  <c r="AC25" i="10"/>
  <c r="AB25" i="10"/>
  <c r="AA25" i="10"/>
  <c r="Z25" i="10"/>
  <c r="Y25" i="10"/>
  <c r="X25" i="10"/>
  <c r="W25" i="10"/>
  <c r="V25" i="10"/>
  <c r="U25" i="10"/>
  <c r="T25" i="10"/>
  <c r="S25" i="10"/>
  <c r="R25" i="10"/>
  <c r="Q25" i="10"/>
  <c r="P25" i="10"/>
  <c r="O25" i="10"/>
  <c r="N25" i="10"/>
  <c r="M25" i="10"/>
  <c r="L25" i="10"/>
  <c r="K25" i="10"/>
  <c r="J25" i="10"/>
  <c r="E25" i="10"/>
  <c r="D25" i="10"/>
  <c r="G24" i="10"/>
  <c r="E24" i="10"/>
  <c r="D24" i="10"/>
  <c r="D23" i="10" s="1"/>
  <c r="AG23" i="10"/>
  <c r="AF23" i="10"/>
  <c r="AE23" i="10"/>
  <c r="AD23" i="10"/>
  <c r="AC23" i="10"/>
  <c r="AB23" i="10"/>
  <c r="AA23" i="10"/>
  <c r="Z23" i="10"/>
  <c r="Y23" i="10"/>
  <c r="X23" i="10"/>
  <c r="W23" i="10"/>
  <c r="V23" i="10"/>
  <c r="U23" i="10"/>
  <c r="T23" i="10"/>
  <c r="S23" i="10"/>
  <c r="R23" i="10"/>
  <c r="Q23" i="10"/>
  <c r="P23" i="10"/>
  <c r="O23" i="10"/>
  <c r="N23" i="10"/>
  <c r="M23" i="10"/>
  <c r="L23" i="10"/>
  <c r="K23" i="10"/>
  <c r="J23" i="10"/>
  <c r="E23" i="10"/>
  <c r="G22" i="10"/>
  <c r="F22" i="10"/>
  <c r="F21" i="10" s="1"/>
  <c r="E22" i="10"/>
  <c r="D22" i="10"/>
  <c r="AG21" i="10"/>
  <c r="AF21" i="10"/>
  <c r="AE21" i="10"/>
  <c r="AD21" i="10"/>
  <c r="AC21" i="10"/>
  <c r="AB21" i="10"/>
  <c r="AA21" i="10"/>
  <c r="Z21" i="10"/>
  <c r="Y21" i="10"/>
  <c r="X21" i="10"/>
  <c r="W21" i="10"/>
  <c r="V21" i="10"/>
  <c r="U21" i="10"/>
  <c r="T21" i="10"/>
  <c r="S21" i="10"/>
  <c r="R21" i="10"/>
  <c r="Q21" i="10"/>
  <c r="P21" i="10"/>
  <c r="O21" i="10"/>
  <c r="N21" i="10"/>
  <c r="M21" i="10"/>
  <c r="L21" i="10"/>
  <c r="K21" i="10"/>
  <c r="J21" i="10"/>
  <c r="E21" i="10"/>
  <c r="D21" i="10"/>
  <c r="G20" i="10"/>
  <c r="E20" i="10"/>
  <c r="D20" i="10"/>
  <c r="D18" i="10" s="1"/>
  <c r="G19" i="10"/>
  <c r="F19" i="10" s="1"/>
  <c r="E19" i="10"/>
  <c r="E18" i="10" s="1"/>
  <c r="D19" i="10"/>
  <c r="AG18" i="10"/>
  <c r="AF18" i="10"/>
  <c r="AE18" i="10"/>
  <c r="AD18" i="10"/>
  <c r="AC18" i="10"/>
  <c r="AB18" i="10"/>
  <c r="AA18" i="10"/>
  <c r="Z18" i="10"/>
  <c r="Y18" i="10"/>
  <c r="X18" i="10"/>
  <c r="W18" i="10"/>
  <c r="V18" i="10"/>
  <c r="U18" i="10"/>
  <c r="T18" i="10"/>
  <c r="S18" i="10"/>
  <c r="R18" i="10"/>
  <c r="Q18" i="10"/>
  <c r="P18" i="10"/>
  <c r="O18" i="10"/>
  <c r="N18" i="10"/>
  <c r="M18" i="10"/>
  <c r="L18" i="10"/>
  <c r="J18" i="10"/>
  <c r="G17" i="10"/>
  <c r="F17" i="10" s="1"/>
  <c r="F16" i="10" s="1"/>
  <c r="E17" i="10"/>
  <c r="E16" i="10" s="1"/>
  <c r="D17" i="10"/>
  <c r="AG16" i="10"/>
  <c r="AF16" i="10"/>
  <c r="AE16" i="10"/>
  <c r="AD16" i="10"/>
  <c r="AC16" i="10"/>
  <c r="AB16" i="10"/>
  <c r="AA16" i="10"/>
  <c r="Z16" i="10"/>
  <c r="Y16" i="10"/>
  <c r="X16" i="10"/>
  <c r="W16" i="10"/>
  <c r="V16" i="10"/>
  <c r="U16" i="10"/>
  <c r="T16" i="10"/>
  <c r="S16" i="10"/>
  <c r="R16" i="10"/>
  <c r="Q16" i="10"/>
  <c r="P16" i="10"/>
  <c r="O16" i="10"/>
  <c r="N16" i="10"/>
  <c r="M16" i="10"/>
  <c r="L16" i="10"/>
  <c r="K16" i="10"/>
  <c r="J16" i="10"/>
  <c r="G15" i="10"/>
  <c r="F15" i="10"/>
  <c r="E15" i="10"/>
  <c r="D15" i="10"/>
  <c r="G14" i="10"/>
  <c r="F14" i="10"/>
  <c r="F13" i="10" s="1"/>
  <c r="E14" i="10"/>
  <c r="D14" i="10"/>
  <c r="AG13" i="10"/>
  <c r="AF13" i="10"/>
  <c r="AE13" i="10"/>
  <c r="AD13" i="10"/>
  <c r="AC13" i="10"/>
  <c r="AB13" i="10"/>
  <c r="AA13" i="10"/>
  <c r="Z13" i="10"/>
  <c r="Y13" i="10"/>
  <c r="X13" i="10"/>
  <c r="W13" i="10"/>
  <c r="V13" i="10"/>
  <c r="U13" i="10"/>
  <c r="T13" i="10"/>
  <c r="S13" i="10"/>
  <c r="R13" i="10"/>
  <c r="Q13" i="10"/>
  <c r="P13" i="10"/>
  <c r="O13" i="10"/>
  <c r="N13" i="10"/>
  <c r="M13" i="10"/>
  <c r="L13" i="10"/>
  <c r="K13" i="10"/>
  <c r="J13" i="10"/>
  <c r="AG11" i="10"/>
  <c r="AF11" i="10"/>
  <c r="AE11" i="10"/>
  <c r="AD11" i="10"/>
  <c r="AC11" i="10"/>
  <c r="AB11" i="10"/>
  <c r="AA11" i="10"/>
  <c r="Z11" i="10"/>
  <c r="Y11" i="10"/>
  <c r="X11" i="10"/>
  <c r="W11" i="10"/>
  <c r="V11" i="10"/>
  <c r="U11" i="10"/>
  <c r="T11" i="10"/>
  <c r="S11" i="10"/>
  <c r="R11" i="10"/>
  <c r="Q11" i="10"/>
  <c r="P11" i="10"/>
  <c r="O11" i="10"/>
  <c r="N11" i="10"/>
  <c r="M11" i="10"/>
  <c r="L11" i="10"/>
  <c r="K11" i="10"/>
  <c r="J11" i="10"/>
  <c r="D11" i="10" s="1"/>
  <c r="G11" i="10"/>
  <c r="AG10" i="10"/>
  <c r="AF10" i="10"/>
  <c r="AE10" i="10"/>
  <c r="AD10" i="10"/>
  <c r="AC10" i="10"/>
  <c r="AC8" i="10" s="1"/>
  <c r="AB10" i="10"/>
  <c r="AA10" i="10"/>
  <c r="Z10" i="10"/>
  <c r="Z8" i="10" s="1"/>
  <c r="Y10" i="10"/>
  <c r="X10" i="10"/>
  <c r="W10" i="10"/>
  <c r="V10" i="10"/>
  <c r="U10" i="10"/>
  <c r="U8" i="10" s="1"/>
  <c r="T10" i="10"/>
  <c r="S10" i="10"/>
  <c r="R10" i="10"/>
  <c r="R8" i="10" s="1"/>
  <c r="Q10" i="10"/>
  <c r="Q8" i="10" s="1"/>
  <c r="P10" i="10"/>
  <c r="O10" i="10"/>
  <c r="N10" i="10"/>
  <c r="M10" i="10"/>
  <c r="L10" i="10"/>
  <c r="K10" i="10"/>
  <c r="J10" i="10"/>
  <c r="J8" i="10" s="1"/>
  <c r="AG9" i="10"/>
  <c r="AF9" i="10"/>
  <c r="AF8" i="10" s="1"/>
  <c r="AE9" i="10"/>
  <c r="AE8" i="10" s="1"/>
  <c r="AD9" i="10"/>
  <c r="AD8" i="10" s="1"/>
  <c r="AC9" i="10"/>
  <c r="AB9" i="10"/>
  <c r="AA9" i="10"/>
  <c r="AA8" i="10" s="1"/>
  <c r="Z9" i="10"/>
  <c r="Y9" i="10"/>
  <c r="X9" i="10"/>
  <c r="X8" i="10" s="1"/>
  <c r="W9" i="10"/>
  <c r="W8" i="10" s="1"/>
  <c r="V9" i="10"/>
  <c r="V8" i="10" s="1"/>
  <c r="U9" i="10"/>
  <c r="T9" i="10"/>
  <c r="S9" i="10"/>
  <c r="S8" i="10" s="1"/>
  <c r="R9" i="10"/>
  <c r="Q9" i="10"/>
  <c r="P9" i="10"/>
  <c r="P8" i="10" s="1"/>
  <c r="O9" i="10"/>
  <c r="N9" i="10"/>
  <c r="D9" i="10" s="1"/>
  <c r="M9" i="10"/>
  <c r="L9" i="10"/>
  <c r="K9" i="10"/>
  <c r="J9" i="10"/>
  <c r="E9" i="10" s="1"/>
  <c r="AG8" i="10"/>
  <c r="AB8" i="10"/>
  <c r="Y8" i="10"/>
  <c r="T8" i="10"/>
  <c r="L8" i="10"/>
  <c r="E8" i="1" l="1"/>
  <c r="O8" i="10"/>
  <c r="G16" i="10"/>
  <c r="I11" i="1"/>
  <c r="D8" i="1"/>
  <c r="H31" i="10"/>
  <c r="I31" i="10"/>
  <c r="F31" i="10"/>
  <c r="F30" i="10" s="1"/>
  <c r="I26" i="10"/>
  <c r="H26" i="10"/>
  <c r="I33" i="10"/>
  <c r="H33" i="10"/>
  <c r="H29" i="10"/>
  <c r="I29" i="10"/>
  <c r="H24" i="10"/>
  <c r="I24" i="10"/>
  <c r="H16" i="10"/>
  <c r="I16" i="10"/>
  <c r="H17" i="10"/>
  <c r="I17" i="10"/>
  <c r="I35" i="10"/>
  <c r="H35" i="10"/>
  <c r="H38" i="10"/>
  <c r="I38" i="10"/>
  <c r="K8" i="10"/>
  <c r="H20" i="10"/>
  <c r="I20" i="10"/>
  <c r="H11" i="10"/>
  <c r="I11" i="10"/>
  <c r="G10" i="10"/>
  <c r="F10" i="10" s="1"/>
  <c r="H19" i="10"/>
  <c r="I19" i="10"/>
  <c r="F11" i="1"/>
  <c r="H11" i="1"/>
  <c r="I10" i="1"/>
  <c r="H10" i="1"/>
  <c r="F10" i="1"/>
  <c r="I12" i="1"/>
  <c r="F12" i="1"/>
  <c r="H12" i="1"/>
  <c r="I33" i="1"/>
  <c r="H33" i="1"/>
  <c r="F33" i="1"/>
  <c r="G8" i="1"/>
  <c r="M8" i="10"/>
  <c r="G9" i="10"/>
  <c r="E13" i="10"/>
  <c r="G18" i="10"/>
  <c r="D16" i="10"/>
  <c r="N8" i="10"/>
  <c r="E11" i="10"/>
  <c r="G13" i="10"/>
  <c r="G21" i="10"/>
  <c r="G25" i="10"/>
  <c r="G30" i="10"/>
  <c r="G34" i="10"/>
  <c r="D10" i="10"/>
  <c r="F11" i="10"/>
  <c r="F20" i="10"/>
  <c r="F18" i="10" s="1"/>
  <c r="F24" i="10"/>
  <c r="F23" i="10" s="1"/>
  <c r="F33" i="10"/>
  <c r="F32" i="10" s="1"/>
  <c r="F38" i="10"/>
  <c r="F37" i="10" s="1"/>
  <c r="E10" i="10"/>
  <c r="E8" i="10" s="1"/>
  <c r="G23" i="10"/>
  <c r="G28" i="10"/>
  <c r="G32" i="10"/>
  <c r="G37" i="10"/>
  <c r="H30" i="10" l="1"/>
  <c r="I30" i="10"/>
  <c r="I25" i="10"/>
  <c r="H25" i="10"/>
  <c r="I32" i="10"/>
  <c r="H32" i="10"/>
  <c r="H28" i="10"/>
  <c r="I28" i="10"/>
  <c r="H23" i="10"/>
  <c r="I23" i="10"/>
  <c r="I34" i="10"/>
  <c r="H34" i="10"/>
  <c r="H37" i="10"/>
  <c r="I37" i="10"/>
  <c r="H18" i="10"/>
  <c r="I18" i="10"/>
  <c r="H10" i="10"/>
  <c r="I10" i="10"/>
  <c r="F8" i="1"/>
  <c r="I8" i="1"/>
  <c r="H8" i="1"/>
  <c r="D8" i="10"/>
  <c r="F9" i="10"/>
  <c r="F8" i="10" s="1"/>
  <c r="G8" i="10"/>
  <c r="I8" i="10" l="1"/>
  <c r="H8" i="10"/>
  <c r="G49" i="6"/>
  <c r="F49" i="6" s="1"/>
  <c r="D49" i="6"/>
  <c r="D41" i="6" s="1"/>
  <c r="G48" i="6"/>
  <c r="F48" i="6" s="1"/>
  <c r="E48" i="6"/>
  <c r="D48" i="6"/>
  <c r="G47" i="6"/>
  <c r="E47" i="6"/>
  <c r="D47" i="6"/>
  <c r="AG46" i="6"/>
  <c r="AF46" i="6"/>
  <c r="AE46" i="6"/>
  <c r="AD46" i="6"/>
  <c r="AC46" i="6"/>
  <c r="AB46" i="6"/>
  <c r="AA46" i="6"/>
  <c r="Z46" i="6"/>
  <c r="Y46" i="6"/>
  <c r="X46" i="6"/>
  <c r="W46" i="6"/>
  <c r="V46" i="6"/>
  <c r="U46" i="6"/>
  <c r="T46" i="6"/>
  <c r="S46" i="6"/>
  <c r="R46" i="6"/>
  <c r="Q46" i="6"/>
  <c r="P46" i="6"/>
  <c r="O46" i="6"/>
  <c r="N46" i="6"/>
  <c r="M46" i="6"/>
  <c r="L46" i="6"/>
  <c r="K46" i="6"/>
  <c r="J46" i="6"/>
  <c r="G45" i="6"/>
  <c r="G44" i="6"/>
  <c r="AJ44" i="6" s="1"/>
  <c r="D44" i="6"/>
  <c r="D40" i="6" s="1"/>
  <c r="G43" i="6"/>
  <c r="E43" i="6"/>
  <c r="D43" i="6"/>
  <c r="AG42" i="6"/>
  <c r="AF42" i="6"/>
  <c r="AE42" i="6"/>
  <c r="AD42" i="6"/>
  <c r="AC42" i="6"/>
  <c r="AB42" i="6"/>
  <c r="AA42" i="6"/>
  <c r="Z42" i="6"/>
  <c r="Y42" i="6"/>
  <c r="X42" i="6"/>
  <c r="W42" i="6"/>
  <c r="V42" i="6"/>
  <c r="U42" i="6"/>
  <c r="T42" i="6"/>
  <c r="S42" i="6"/>
  <c r="R42" i="6"/>
  <c r="Q42" i="6"/>
  <c r="P42" i="6"/>
  <c r="O42" i="6"/>
  <c r="N42" i="6"/>
  <c r="M42" i="6"/>
  <c r="L42" i="6"/>
  <c r="K42" i="6"/>
  <c r="J42" i="6"/>
  <c r="AG41" i="6"/>
  <c r="AF41" i="6"/>
  <c r="AE41" i="6"/>
  <c r="AD41" i="6"/>
  <c r="AC41" i="6"/>
  <c r="AB41" i="6"/>
  <c r="AA41" i="6"/>
  <c r="Z41" i="6"/>
  <c r="Y41" i="6"/>
  <c r="X41" i="6"/>
  <c r="W41" i="6"/>
  <c r="V41" i="6"/>
  <c r="U41" i="6"/>
  <c r="T41" i="6"/>
  <c r="S41" i="6"/>
  <c r="R41" i="6"/>
  <c r="Q41" i="6"/>
  <c r="P41" i="6"/>
  <c r="O41" i="6"/>
  <c r="N41" i="6"/>
  <c r="M41" i="6"/>
  <c r="L41" i="6"/>
  <c r="K41" i="6"/>
  <c r="J41" i="6"/>
  <c r="AG40" i="6"/>
  <c r="AF40" i="6"/>
  <c r="AE40" i="6"/>
  <c r="AD40" i="6"/>
  <c r="AC40" i="6"/>
  <c r="AB40" i="6"/>
  <c r="AA40" i="6"/>
  <c r="Z40" i="6"/>
  <c r="Y40" i="6"/>
  <c r="X40" i="6"/>
  <c r="W40" i="6"/>
  <c r="V40" i="6"/>
  <c r="U40" i="6"/>
  <c r="T40" i="6"/>
  <c r="S40" i="6"/>
  <c r="R40" i="6"/>
  <c r="Q40" i="6"/>
  <c r="P40" i="6"/>
  <c r="O40" i="6"/>
  <c r="N40" i="6"/>
  <c r="M40" i="6"/>
  <c r="L40" i="6"/>
  <c r="K40" i="6"/>
  <c r="J40" i="6"/>
  <c r="AG39" i="6"/>
  <c r="AF39" i="6"/>
  <c r="AE39" i="6"/>
  <c r="AD39" i="6"/>
  <c r="AC39" i="6"/>
  <c r="AB39" i="6"/>
  <c r="AA39" i="6"/>
  <c r="Z39" i="6"/>
  <c r="Y39" i="6"/>
  <c r="Y38" i="6" s="1"/>
  <c r="X39" i="6"/>
  <c r="X38" i="6" s="1"/>
  <c r="W39" i="6"/>
  <c r="V39" i="6"/>
  <c r="U39" i="6"/>
  <c r="T39" i="6"/>
  <c r="S39" i="6"/>
  <c r="S38" i="6" s="1"/>
  <c r="R39" i="6"/>
  <c r="Q39" i="6"/>
  <c r="P39" i="6"/>
  <c r="O39" i="6"/>
  <c r="N39" i="6"/>
  <c r="M39" i="6"/>
  <c r="L39" i="6"/>
  <c r="K39" i="6"/>
  <c r="J39" i="6"/>
  <c r="E39" i="6" s="1"/>
  <c r="G36" i="6"/>
  <c r="F36" i="6" s="1"/>
  <c r="E36" i="6"/>
  <c r="D36" i="6"/>
  <c r="G35" i="6"/>
  <c r="D35" i="6"/>
  <c r="G34" i="6"/>
  <c r="F34" i="6" s="1"/>
  <c r="E34" i="6"/>
  <c r="D34" i="6"/>
  <c r="AG33" i="6"/>
  <c r="AF33" i="6"/>
  <c r="AE33" i="6"/>
  <c r="AD33" i="6"/>
  <c r="AC33" i="6"/>
  <c r="AB33" i="6"/>
  <c r="AA33" i="6"/>
  <c r="Z33" i="6"/>
  <c r="Y33" i="6"/>
  <c r="X33" i="6"/>
  <c r="W33" i="6"/>
  <c r="V33" i="6"/>
  <c r="U33" i="6"/>
  <c r="T33" i="6"/>
  <c r="S33" i="6"/>
  <c r="R33" i="6"/>
  <c r="Q33" i="6"/>
  <c r="P33" i="6"/>
  <c r="O33" i="6"/>
  <c r="N33" i="6"/>
  <c r="M33" i="6"/>
  <c r="L33" i="6"/>
  <c r="K33" i="6"/>
  <c r="J33" i="6"/>
  <c r="G32" i="6"/>
  <c r="D32" i="6"/>
  <c r="G31" i="6"/>
  <c r="E31" i="6"/>
  <c r="D31" i="6"/>
  <c r="G30" i="6"/>
  <c r="F30" i="6" s="1"/>
  <c r="E30" i="6"/>
  <c r="D30" i="6"/>
  <c r="AG29" i="6"/>
  <c r="AF29" i="6"/>
  <c r="AE29" i="6"/>
  <c r="AD29" i="6"/>
  <c r="AC29" i="6"/>
  <c r="AB29" i="6"/>
  <c r="AA29" i="6"/>
  <c r="Z29" i="6"/>
  <c r="Y29" i="6"/>
  <c r="X29" i="6"/>
  <c r="W29" i="6"/>
  <c r="V29" i="6"/>
  <c r="U29" i="6"/>
  <c r="T29" i="6"/>
  <c r="S29" i="6"/>
  <c r="R29" i="6"/>
  <c r="Q29" i="6"/>
  <c r="P29" i="6"/>
  <c r="O29" i="6"/>
  <c r="N29" i="6"/>
  <c r="M29" i="6"/>
  <c r="L29" i="6"/>
  <c r="K29" i="6"/>
  <c r="J29" i="6"/>
  <c r="G28" i="6"/>
  <c r="G27" i="6"/>
  <c r="G26" i="6"/>
  <c r="E26" i="6"/>
  <c r="D26" i="6"/>
  <c r="D25" i="6" s="1"/>
  <c r="AG25" i="6"/>
  <c r="AF25" i="6"/>
  <c r="AE25" i="6"/>
  <c r="AD25" i="6"/>
  <c r="AC25" i="6"/>
  <c r="AB25" i="6"/>
  <c r="AA25" i="6"/>
  <c r="Z25" i="6"/>
  <c r="Y25" i="6"/>
  <c r="X25" i="6"/>
  <c r="W25" i="6"/>
  <c r="V25" i="6"/>
  <c r="U25" i="6"/>
  <c r="T25" i="6"/>
  <c r="S25" i="6"/>
  <c r="R25" i="6"/>
  <c r="Q25" i="6"/>
  <c r="P25" i="6"/>
  <c r="O25" i="6"/>
  <c r="N25" i="6"/>
  <c r="M25" i="6"/>
  <c r="L25" i="6"/>
  <c r="K25" i="6"/>
  <c r="J25" i="6"/>
  <c r="G24" i="6"/>
  <c r="G23" i="6"/>
  <c r="AJ23" i="6" s="1"/>
  <c r="G22" i="6"/>
  <c r="F22" i="6" s="1"/>
  <c r="E22" i="6"/>
  <c r="E21" i="6" s="1"/>
  <c r="D22" i="6"/>
  <c r="D21" i="6" s="1"/>
  <c r="AG21" i="6"/>
  <c r="AF21" i="6"/>
  <c r="AE21" i="6"/>
  <c r="AD21" i="6"/>
  <c r="AC21" i="6"/>
  <c r="AB21" i="6"/>
  <c r="AA21" i="6"/>
  <c r="Z21" i="6"/>
  <c r="Y21" i="6"/>
  <c r="X21" i="6"/>
  <c r="W21" i="6"/>
  <c r="V21" i="6"/>
  <c r="U21" i="6"/>
  <c r="T21" i="6"/>
  <c r="S21" i="6"/>
  <c r="R21" i="6"/>
  <c r="Q21" i="6"/>
  <c r="P21" i="6"/>
  <c r="O21" i="6"/>
  <c r="N21" i="6"/>
  <c r="M21" i="6"/>
  <c r="L21" i="6"/>
  <c r="K21" i="6"/>
  <c r="J21" i="6"/>
  <c r="G20" i="6"/>
  <c r="F20" i="6" s="1"/>
  <c r="G19" i="6"/>
  <c r="AJ19" i="6" s="1"/>
  <c r="G18" i="6"/>
  <c r="E18" i="6"/>
  <c r="E17" i="6" s="1"/>
  <c r="D18" i="6"/>
  <c r="D17" i="6" s="1"/>
  <c r="AG17" i="6"/>
  <c r="AF17" i="6"/>
  <c r="AE17" i="6"/>
  <c r="AD17" i="6"/>
  <c r="AC17" i="6"/>
  <c r="AB17" i="6"/>
  <c r="AA17" i="6"/>
  <c r="Z17" i="6"/>
  <c r="Y17" i="6"/>
  <c r="X17" i="6"/>
  <c r="W17" i="6"/>
  <c r="V17" i="6"/>
  <c r="U17" i="6"/>
  <c r="T17" i="6"/>
  <c r="S17" i="6"/>
  <c r="R17" i="6"/>
  <c r="Q17" i="6"/>
  <c r="P17" i="6"/>
  <c r="O17" i="6"/>
  <c r="N17" i="6"/>
  <c r="M17" i="6"/>
  <c r="L17" i="6"/>
  <c r="K17" i="6"/>
  <c r="J17" i="6"/>
  <c r="AG16" i="6"/>
  <c r="AG11" i="6" s="1"/>
  <c r="AF16" i="6"/>
  <c r="AE16" i="6"/>
  <c r="AD16" i="6"/>
  <c r="AC16" i="6"/>
  <c r="AB16" i="6"/>
  <c r="AA16" i="6"/>
  <c r="Z16" i="6"/>
  <c r="Y16" i="6"/>
  <c r="Y11" i="6" s="1"/>
  <c r="X16" i="6"/>
  <c r="W16" i="6"/>
  <c r="W11" i="6" s="1"/>
  <c r="V16" i="6"/>
  <c r="U16" i="6"/>
  <c r="U11" i="6" s="1"/>
  <c r="T16" i="6"/>
  <c r="S16" i="6"/>
  <c r="R16" i="6"/>
  <c r="Q16" i="6"/>
  <c r="P16" i="6"/>
  <c r="O16" i="6"/>
  <c r="O11" i="6" s="1"/>
  <c r="N16" i="6"/>
  <c r="M16" i="6"/>
  <c r="M11" i="6" s="1"/>
  <c r="L16" i="6"/>
  <c r="K16" i="6"/>
  <c r="J16" i="6"/>
  <c r="AG15" i="6"/>
  <c r="AG10" i="6" s="1"/>
  <c r="AF15" i="6"/>
  <c r="AE15" i="6"/>
  <c r="AD15" i="6"/>
  <c r="AC15" i="6"/>
  <c r="AB15" i="6"/>
  <c r="AA15" i="6"/>
  <c r="Z15" i="6"/>
  <c r="Y15" i="6"/>
  <c r="Y10" i="6" s="1"/>
  <c r="X15" i="6"/>
  <c r="W15" i="6"/>
  <c r="V15" i="6"/>
  <c r="U15" i="6"/>
  <c r="U10" i="6" s="1"/>
  <c r="U8" i="6" s="1"/>
  <c r="T15" i="6"/>
  <c r="S15" i="6"/>
  <c r="R15" i="6"/>
  <c r="Q15" i="6"/>
  <c r="P15" i="6"/>
  <c r="O15" i="6"/>
  <c r="O10" i="6" s="1"/>
  <c r="N15" i="6"/>
  <c r="M15" i="6"/>
  <c r="M10" i="6" s="1"/>
  <c r="L15" i="6"/>
  <c r="K15" i="6"/>
  <c r="AG14" i="6"/>
  <c r="AF14" i="6"/>
  <c r="AE14" i="6"/>
  <c r="AD14" i="6"/>
  <c r="AC14" i="6"/>
  <c r="AB14" i="6"/>
  <c r="AA14" i="6"/>
  <c r="Z14" i="6"/>
  <c r="Y14" i="6"/>
  <c r="X14" i="6"/>
  <c r="W14" i="6"/>
  <c r="V14" i="6"/>
  <c r="U14" i="6"/>
  <c r="T14" i="6"/>
  <c r="S14" i="6"/>
  <c r="R14" i="6"/>
  <c r="Q14" i="6"/>
  <c r="P14" i="6"/>
  <c r="O14" i="6"/>
  <c r="N14" i="6"/>
  <c r="M14" i="6"/>
  <c r="L14" i="6"/>
  <c r="K14" i="6"/>
  <c r="J14" i="6"/>
  <c r="E14" i="6" s="1"/>
  <c r="E13" i="6" s="1"/>
  <c r="G9" i="6"/>
  <c r="F9" i="6" s="1"/>
  <c r="E9" i="6"/>
  <c r="D9" i="6"/>
  <c r="AA11" i="6" l="1"/>
  <c r="AA10" i="6"/>
  <c r="V10" i="6"/>
  <c r="Z10" i="6"/>
  <c r="N11" i="6"/>
  <c r="Z11" i="6"/>
  <c r="N10" i="6"/>
  <c r="D16" i="6"/>
  <c r="AG13" i="6"/>
  <c r="G41" i="6"/>
  <c r="I41" i="6" s="1"/>
  <c r="Q13" i="6"/>
  <c r="S11" i="6"/>
  <c r="AE11" i="6"/>
  <c r="E29" i="6"/>
  <c r="E33" i="6"/>
  <c r="X10" i="6"/>
  <c r="AF11" i="6"/>
  <c r="G40" i="6"/>
  <c r="I40" i="6" s="1"/>
  <c r="AJ28" i="6"/>
  <c r="D15" i="6"/>
  <c r="J10" i="6"/>
  <c r="D29" i="6"/>
  <c r="D33" i="6"/>
  <c r="E46" i="6"/>
  <c r="K10" i="6"/>
  <c r="W10" i="6"/>
  <c r="W8" i="6" s="1"/>
  <c r="K11" i="6"/>
  <c r="L11" i="6"/>
  <c r="X11" i="6"/>
  <c r="Q11" i="6"/>
  <c r="AJ24" i="6"/>
  <c r="AJ30" i="6"/>
  <c r="AJ35" i="6"/>
  <c r="AJ18" i="6"/>
  <c r="AJ22" i="6"/>
  <c r="AJ27" i="6"/>
  <c r="AJ32" i="6"/>
  <c r="AJ43" i="6"/>
  <c r="AJ47" i="6"/>
  <c r="AJ34" i="6"/>
  <c r="AJ49" i="6"/>
  <c r="AJ48" i="6"/>
  <c r="AJ9" i="6"/>
  <c r="AJ20" i="6"/>
  <c r="AJ26" i="6"/>
  <c r="AJ31" i="6"/>
  <c r="AJ45" i="6"/>
  <c r="I35" i="6"/>
  <c r="L10" i="6"/>
  <c r="T11" i="6"/>
  <c r="Q38" i="6"/>
  <c r="AC11" i="6"/>
  <c r="P10" i="6"/>
  <c r="P11" i="6"/>
  <c r="AB11" i="6"/>
  <c r="Q10" i="6"/>
  <c r="AC10" i="6"/>
  <c r="AD10" i="6"/>
  <c r="R11" i="6"/>
  <c r="AD11" i="6"/>
  <c r="I23" i="6"/>
  <c r="E42" i="6"/>
  <c r="I24" i="6"/>
  <c r="L38" i="6"/>
  <c r="AB38" i="6"/>
  <c r="M38" i="6"/>
  <c r="AC38" i="6"/>
  <c r="I45" i="6"/>
  <c r="R38" i="6"/>
  <c r="T38" i="6"/>
  <c r="AF38" i="6"/>
  <c r="L13" i="6"/>
  <c r="Y8" i="6"/>
  <c r="AG38" i="6"/>
  <c r="U38" i="6"/>
  <c r="I26" i="6"/>
  <c r="AB13" i="6"/>
  <c r="AE38" i="6"/>
  <c r="I19" i="6"/>
  <c r="G39" i="6"/>
  <c r="F39" i="6" s="1"/>
  <c r="G15" i="6"/>
  <c r="AF13" i="6"/>
  <c r="AE13" i="6"/>
  <c r="AB10" i="6"/>
  <c r="AG8" i="6"/>
  <c r="E25" i="6"/>
  <c r="T13" i="6"/>
  <c r="R10" i="6"/>
  <c r="J11" i="6"/>
  <c r="I32" i="6"/>
  <c r="I44" i="6"/>
  <c r="AE10" i="6"/>
  <c r="S10" i="6"/>
  <c r="T10" i="6"/>
  <c r="AD38" i="6"/>
  <c r="I49" i="6"/>
  <c r="G42" i="6"/>
  <c r="P38" i="6"/>
  <c r="U13" i="6"/>
  <c r="I18" i="6"/>
  <c r="X13" i="6"/>
  <c r="AC13" i="6"/>
  <c r="E38" i="6"/>
  <c r="V38" i="6"/>
  <c r="I30" i="6"/>
  <c r="W38" i="6"/>
  <c r="AF10" i="6"/>
  <c r="I27" i="6"/>
  <c r="I34" i="6"/>
  <c r="I9" i="6"/>
  <c r="V13" i="6"/>
  <c r="I20" i="6"/>
  <c r="I47" i="6"/>
  <c r="S13" i="6"/>
  <c r="G16" i="6"/>
  <c r="AJ16" i="6" s="1"/>
  <c r="W13" i="6"/>
  <c r="G17" i="6"/>
  <c r="I31" i="6"/>
  <c r="N38" i="6"/>
  <c r="Z38" i="6"/>
  <c r="I43" i="6"/>
  <c r="D46" i="6"/>
  <c r="G14" i="6"/>
  <c r="F14" i="6" s="1"/>
  <c r="O38" i="6"/>
  <c r="AA38" i="6"/>
  <c r="D42" i="6"/>
  <c r="M8" i="6"/>
  <c r="M13" i="6"/>
  <c r="Y13" i="6"/>
  <c r="G21" i="6"/>
  <c r="I28" i="6"/>
  <c r="N13" i="6"/>
  <c r="Z13" i="6"/>
  <c r="F18" i="6"/>
  <c r="F17" i="6" s="1"/>
  <c r="G25" i="6"/>
  <c r="I48" i="6"/>
  <c r="AD13" i="6"/>
  <c r="O13" i="6"/>
  <c r="AA13" i="6"/>
  <c r="P13" i="6"/>
  <c r="G29" i="6"/>
  <c r="I36" i="6"/>
  <c r="O8" i="6"/>
  <c r="R13" i="6"/>
  <c r="I22" i="6"/>
  <c r="F26" i="6"/>
  <c r="G33" i="6"/>
  <c r="V11" i="6"/>
  <c r="V8" i="6" s="1"/>
  <c r="F31" i="6"/>
  <c r="F35" i="6"/>
  <c r="G46" i="6"/>
  <c r="H31" i="6"/>
  <c r="H35" i="6"/>
  <c r="H44" i="6"/>
  <c r="H48" i="6"/>
  <c r="H19" i="6"/>
  <c r="H23" i="6"/>
  <c r="H27" i="6"/>
  <c r="D14" i="6"/>
  <c r="J38" i="6"/>
  <c r="D39" i="6"/>
  <c r="J13" i="6"/>
  <c r="K13" i="6"/>
  <c r="K38" i="6"/>
  <c r="F43" i="6"/>
  <c r="F45" i="6"/>
  <c r="F41" i="6" s="1"/>
  <c r="F47" i="6"/>
  <c r="F46" i="6" s="1"/>
  <c r="H9" i="6"/>
  <c r="H18" i="6"/>
  <c r="H20" i="6"/>
  <c r="H22" i="6"/>
  <c r="H24" i="6"/>
  <c r="H26" i="6"/>
  <c r="H28" i="6"/>
  <c r="H30" i="6"/>
  <c r="H32" i="6"/>
  <c r="H34" i="6"/>
  <c r="H36" i="6"/>
  <c r="H43" i="6"/>
  <c r="H45" i="6"/>
  <c r="H47" i="6"/>
  <c r="H49" i="6"/>
  <c r="G32" i="18"/>
  <c r="I32" i="18" s="1"/>
  <c r="E32" i="18"/>
  <c r="D32" i="18"/>
  <c r="D31" i="18" s="1"/>
  <c r="AG31" i="18"/>
  <c r="AF31" i="18"/>
  <c r="AE31" i="18"/>
  <c r="AD31" i="18"/>
  <c r="AC31" i="18"/>
  <c r="AB31" i="18"/>
  <c r="AA31" i="18"/>
  <c r="Z31" i="18"/>
  <c r="Y31" i="18"/>
  <c r="X31" i="18"/>
  <c r="W31" i="18"/>
  <c r="V31" i="18"/>
  <c r="U31" i="18"/>
  <c r="T31" i="18"/>
  <c r="S31" i="18"/>
  <c r="R31" i="18"/>
  <c r="Q31" i="18"/>
  <c r="P31" i="18"/>
  <c r="O31" i="18"/>
  <c r="N31" i="18"/>
  <c r="M31" i="18"/>
  <c r="L31" i="18"/>
  <c r="K31" i="18"/>
  <c r="J31" i="18"/>
  <c r="E31" i="18"/>
  <c r="AG30" i="18"/>
  <c r="AF30" i="18"/>
  <c r="AF29" i="18" s="1"/>
  <c r="AE30" i="18"/>
  <c r="AE29" i="18" s="1"/>
  <c r="AD30" i="18"/>
  <c r="AD29" i="18" s="1"/>
  <c r="AC30" i="18"/>
  <c r="AB30" i="18"/>
  <c r="AA30" i="18"/>
  <c r="AA29" i="18" s="1"/>
  <c r="Z30" i="18"/>
  <c r="Y30" i="18"/>
  <c r="X30" i="18"/>
  <c r="X29" i="18" s="1"/>
  <c r="W30" i="18"/>
  <c r="W29" i="18" s="1"/>
  <c r="V30" i="18"/>
  <c r="V29" i="18" s="1"/>
  <c r="U30" i="18"/>
  <c r="T30" i="18"/>
  <c r="S30" i="18"/>
  <c r="S29" i="18" s="1"/>
  <c r="R30" i="18"/>
  <c r="Q30" i="18"/>
  <c r="P30" i="18"/>
  <c r="P29" i="18" s="1"/>
  <c r="O30" i="18"/>
  <c r="O29" i="18" s="1"/>
  <c r="N30" i="18"/>
  <c r="D30" i="18" s="1"/>
  <c r="M30" i="18"/>
  <c r="L30" i="18"/>
  <c r="K30" i="18"/>
  <c r="K29" i="18" s="1"/>
  <c r="J30" i="18"/>
  <c r="G30" i="18"/>
  <c r="F30" i="18"/>
  <c r="F29" i="18" s="1"/>
  <c r="E30" i="18"/>
  <c r="AG29" i="18"/>
  <c r="AC29" i="18"/>
  <c r="AB29" i="18"/>
  <c r="Z29" i="18"/>
  <c r="Y29" i="18"/>
  <c r="U29" i="18"/>
  <c r="T29" i="18"/>
  <c r="R29" i="18"/>
  <c r="Q29" i="18"/>
  <c r="M29" i="18"/>
  <c r="L29" i="18"/>
  <c r="J29" i="18"/>
  <c r="E29" i="18"/>
  <c r="G27" i="18"/>
  <c r="E27" i="18"/>
  <c r="D27" i="18"/>
  <c r="D26" i="18" s="1"/>
  <c r="AG26" i="18"/>
  <c r="AF26" i="18"/>
  <c r="AE26" i="18"/>
  <c r="AD26" i="18"/>
  <c r="AC26" i="18"/>
  <c r="AB26" i="18"/>
  <c r="AA26" i="18"/>
  <c r="Z26" i="18"/>
  <c r="Y26" i="18"/>
  <c r="X26" i="18"/>
  <c r="W26" i="18"/>
  <c r="V26" i="18"/>
  <c r="U26" i="18"/>
  <c r="T26" i="18"/>
  <c r="S26" i="18"/>
  <c r="R26" i="18"/>
  <c r="Q26" i="18"/>
  <c r="P26" i="18"/>
  <c r="O26" i="18"/>
  <c r="N26" i="18"/>
  <c r="M26" i="18"/>
  <c r="L26" i="18"/>
  <c r="K26" i="18"/>
  <c r="J26" i="18"/>
  <c r="E26" i="18"/>
  <c r="G25" i="18"/>
  <c r="F25" i="18"/>
  <c r="F24" i="18" s="1"/>
  <c r="E25" i="18"/>
  <c r="D25" i="18"/>
  <c r="AG24" i="18"/>
  <c r="AF24" i="18"/>
  <c r="AE24" i="18"/>
  <c r="AD24" i="18"/>
  <c r="AC24" i="18"/>
  <c r="AB24" i="18"/>
  <c r="AA24" i="18"/>
  <c r="Z24" i="18"/>
  <c r="Y24" i="18"/>
  <c r="X24" i="18"/>
  <c r="W24" i="18"/>
  <c r="V24" i="18"/>
  <c r="U24" i="18"/>
  <c r="T24" i="18"/>
  <c r="S24" i="18"/>
  <c r="R24" i="18"/>
  <c r="Q24" i="18"/>
  <c r="P24" i="18"/>
  <c r="O24" i="18"/>
  <c r="N24" i="18"/>
  <c r="M24" i="18"/>
  <c r="L24" i="18"/>
  <c r="K24" i="18"/>
  <c r="J24" i="18"/>
  <c r="E24" i="18"/>
  <c r="D24" i="18"/>
  <c r="G23" i="18"/>
  <c r="E23" i="18"/>
  <c r="D23" i="18"/>
  <c r="D22" i="18" s="1"/>
  <c r="AG22" i="18"/>
  <c r="AF22" i="18"/>
  <c r="AE22" i="18"/>
  <c r="AD22" i="18"/>
  <c r="AC22" i="18"/>
  <c r="AB22" i="18"/>
  <c r="AA22" i="18"/>
  <c r="Z22" i="18"/>
  <c r="Y22" i="18"/>
  <c r="X22" i="18"/>
  <c r="W22" i="18"/>
  <c r="V22" i="18"/>
  <c r="U22" i="18"/>
  <c r="T22" i="18"/>
  <c r="S22" i="18"/>
  <c r="R22" i="18"/>
  <c r="Q22" i="18"/>
  <c r="P22" i="18"/>
  <c r="O22" i="18"/>
  <c r="N22" i="18"/>
  <c r="M22" i="18"/>
  <c r="L22" i="18"/>
  <c r="K22" i="18"/>
  <c r="J22" i="18"/>
  <c r="E22" i="18"/>
  <c r="AG21" i="18"/>
  <c r="AF21" i="18"/>
  <c r="AF20" i="18" s="1"/>
  <c r="AE21" i="18"/>
  <c r="AD21" i="18"/>
  <c r="AD20" i="18" s="1"/>
  <c r="AC21" i="18"/>
  <c r="AB21" i="18"/>
  <c r="AA21" i="18"/>
  <c r="Z21" i="18"/>
  <c r="Y21" i="18"/>
  <c r="X21" i="18"/>
  <c r="X20" i="18" s="1"/>
  <c r="W21" i="18"/>
  <c r="V21" i="18"/>
  <c r="V20" i="18" s="1"/>
  <c r="U21" i="18"/>
  <c r="T21" i="18"/>
  <c r="S21" i="18"/>
  <c r="R21" i="18"/>
  <c r="Q21" i="18"/>
  <c r="P21" i="18"/>
  <c r="P20" i="18" s="1"/>
  <c r="O21" i="18"/>
  <c r="O9" i="18" s="1"/>
  <c r="O8" i="18" s="1"/>
  <c r="N21" i="18"/>
  <c r="D21" i="18" s="1"/>
  <c r="M21" i="18"/>
  <c r="L21" i="18"/>
  <c r="K21" i="18"/>
  <c r="J21" i="18"/>
  <c r="E21" i="18"/>
  <c r="AG20" i="18"/>
  <c r="AE20" i="18"/>
  <c r="AC20" i="18"/>
  <c r="AB20" i="18"/>
  <c r="AA20" i="18"/>
  <c r="Z20" i="18"/>
  <c r="Y20" i="18"/>
  <c r="W20" i="18"/>
  <c r="U20" i="18"/>
  <c r="T20" i="18"/>
  <c r="S20" i="18"/>
  <c r="R20" i="18"/>
  <c r="Q20" i="18"/>
  <c r="M20" i="18"/>
  <c r="L20" i="18"/>
  <c r="K20" i="18"/>
  <c r="J20" i="18"/>
  <c r="E20" i="18"/>
  <c r="G18" i="18"/>
  <c r="E18" i="18"/>
  <c r="D18" i="18"/>
  <c r="D17" i="18" s="1"/>
  <c r="AG17" i="18"/>
  <c r="AF17" i="18"/>
  <c r="AE17" i="18"/>
  <c r="AD17" i="18"/>
  <c r="AC17" i="18"/>
  <c r="AB17" i="18"/>
  <c r="AA17" i="18"/>
  <c r="Z17" i="18"/>
  <c r="Y17" i="18"/>
  <c r="X17" i="18"/>
  <c r="W17" i="18"/>
  <c r="V17" i="18"/>
  <c r="U17" i="18"/>
  <c r="T17" i="18"/>
  <c r="S17" i="18"/>
  <c r="R17" i="18"/>
  <c r="Q17" i="18"/>
  <c r="P17" i="18"/>
  <c r="O17" i="18"/>
  <c r="N17" i="18"/>
  <c r="M17" i="18"/>
  <c r="L17" i="18"/>
  <c r="K17" i="18"/>
  <c r="J17" i="18"/>
  <c r="G17" i="18"/>
  <c r="E17" i="18"/>
  <c r="G16" i="18"/>
  <c r="F16" i="18"/>
  <c r="F15" i="18" s="1"/>
  <c r="E16" i="18"/>
  <c r="D16" i="18"/>
  <c r="AG15" i="18"/>
  <c r="AF15" i="18"/>
  <c r="AE15" i="18"/>
  <c r="AD15" i="18"/>
  <c r="AC15" i="18"/>
  <c r="AB15" i="18"/>
  <c r="AA15" i="18"/>
  <c r="Z15" i="18"/>
  <c r="Y15" i="18"/>
  <c r="X15" i="18"/>
  <c r="W15" i="18"/>
  <c r="V15" i="18"/>
  <c r="U15" i="18"/>
  <c r="T15" i="18"/>
  <c r="S15" i="18"/>
  <c r="R15" i="18"/>
  <c r="Q15" i="18"/>
  <c r="P15" i="18"/>
  <c r="O15" i="18"/>
  <c r="N15" i="18"/>
  <c r="M15" i="18"/>
  <c r="L15" i="18"/>
  <c r="K15" i="18"/>
  <c r="J15" i="18"/>
  <c r="G15" i="18"/>
  <c r="E15" i="18"/>
  <c r="D15" i="18"/>
  <c r="G14" i="18"/>
  <c r="E14" i="18"/>
  <c r="D14" i="18"/>
  <c r="D13" i="18" s="1"/>
  <c r="AG13" i="18"/>
  <c r="AF13" i="18"/>
  <c r="AE13" i="18"/>
  <c r="AD13" i="18"/>
  <c r="AC13" i="18"/>
  <c r="AB13" i="18"/>
  <c r="AA13" i="18"/>
  <c r="Z13" i="18"/>
  <c r="Y13" i="18"/>
  <c r="X13" i="18"/>
  <c r="W13" i="18"/>
  <c r="V13" i="18"/>
  <c r="U13" i="18"/>
  <c r="T13" i="18"/>
  <c r="S13" i="18"/>
  <c r="R13" i="18"/>
  <c r="Q13" i="18"/>
  <c r="P13" i="18"/>
  <c r="O13" i="18"/>
  <c r="N13" i="18"/>
  <c r="M13" i="18"/>
  <c r="L13" i="18"/>
  <c r="K13" i="18"/>
  <c r="J13" i="18"/>
  <c r="E13" i="18"/>
  <c r="AG12" i="18"/>
  <c r="AF12" i="18"/>
  <c r="AF9" i="18" s="1"/>
  <c r="AF8" i="18" s="1"/>
  <c r="AE12" i="18"/>
  <c r="AD12" i="18"/>
  <c r="AD9" i="18" s="1"/>
  <c r="AD8" i="18" s="1"/>
  <c r="AC12" i="18"/>
  <c r="AB12" i="18"/>
  <c r="AA12" i="18"/>
  <c r="AA11" i="18" s="1"/>
  <c r="Z12" i="18"/>
  <c r="Y12" i="18"/>
  <c r="X12" i="18"/>
  <c r="X9" i="18" s="1"/>
  <c r="X8" i="18" s="1"/>
  <c r="W12" i="18"/>
  <c r="V12" i="18"/>
  <c r="V11" i="18" s="1"/>
  <c r="U12" i="18"/>
  <c r="T12" i="18"/>
  <c r="S12" i="18"/>
  <c r="S11" i="18" s="1"/>
  <c r="R12" i="18"/>
  <c r="Q12" i="18"/>
  <c r="P12" i="18"/>
  <c r="P9" i="18" s="1"/>
  <c r="P8" i="18" s="1"/>
  <c r="O12" i="18"/>
  <c r="N12" i="18"/>
  <c r="N11" i="18" s="1"/>
  <c r="M12" i="18"/>
  <c r="L12" i="18"/>
  <c r="K12" i="18"/>
  <c r="K11" i="18" s="1"/>
  <c r="J12" i="18"/>
  <c r="E12" i="18"/>
  <c r="AG11" i="18"/>
  <c r="AE11" i="18"/>
  <c r="AC11" i="18"/>
  <c r="AB11" i="18"/>
  <c r="Z11" i="18"/>
  <c r="Y11" i="18"/>
  <c r="W11" i="18"/>
  <c r="U11" i="18"/>
  <c r="T11" i="18"/>
  <c r="R11" i="18"/>
  <c r="Q11" i="18"/>
  <c r="O11" i="18"/>
  <c r="M11" i="18"/>
  <c r="L11" i="18"/>
  <c r="J11" i="18"/>
  <c r="E11" i="18"/>
  <c r="AG9" i="18"/>
  <c r="AE9" i="18"/>
  <c r="AE8" i="18" s="1"/>
  <c r="AC9" i="18"/>
  <c r="AB9" i="18"/>
  <c r="AB8" i="18" s="1"/>
  <c r="Z9" i="18"/>
  <c r="Z8" i="18" s="1"/>
  <c r="Y9" i="18"/>
  <c r="W9" i="18"/>
  <c r="W8" i="18" s="1"/>
  <c r="U9" i="18"/>
  <c r="T9" i="18"/>
  <c r="T8" i="18" s="1"/>
  <c r="R9" i="18"/>
  <c r="R8" i="18" s="1"/>
  <c r="Q9" i="18"/>
  <c r="M9" i="18"/>
  <c r="L9" i="18"/>
  <c r="L8" i="18" s="1"/>
  <c r="J9" i="18"/>
  <c r="AG8" i="18"/>
  <c r="AC8" i="18"/>
  <c r="Y8" i="18"/>
  <c r="U8" i="18"/>
  <c r="Q8" i="18"/>
  <c r="M8" i="18"/>
  <c r="G27" i="11"/>
  <c r="E27" i="11"/>
  <c r="D27" i="11"/>
  <c r="D26" i="11" s="1"/>
  <c r="AG26" i="11"/>
  <c r="AF26" i="11"/>
  <c r="AE26" i="11"/>
  <c r="AD26" i="11"/>
  <c r="AC26" i="11"/>
  <c r="AB26" i="11"/>
  <c r="AA26" i="11"/>
  <c r="Z26" i="11"/>
  <c r="Y26" i="11"/>
  <c r="X26" i="11"/>
  <c r="W26" i="11"/>
  <c r="V26" i="11"/>
  <c r="U26" i="11"/>
  <c r="T26" i="11"/>
  <c r="S26" i="11"/>
  <c r="R26" i="11"/>
  <c r="Q26" i="11"/>
  <c r="P26" i="11"/>
  <c r="O26" i="11"/>
  <c r="N26" i="11"/>
  <c r="M26" i="11"/>
  <c r="L26" i="11"/>
  <c r="K26" i="11"/>
  <c r="J26" i="11"/>
  <c r="E26" i="11"/>
  <c r="G25" i="11"/>
  <c r="G9" i="11" s="1"/>
  <c r="F25" i="11"/>
  <c r="F9" i="11" s="1"/>
  <c r="F8" i="11" s="1"/>
  <c r="E25" i="11"/>
  <c r="D25" i="11"/>
  <c r="AG24" i="11"/>
  <c r="AF24" i="11"/>
  <c r="AE24" i="11"/>
  <c r="AD24" i="11"/>
  <c r="AC24" i="11"/>
  <c r="AB24" i="11"/>
  <c r="AA24" i="11"/>
  <c r="Z24" i="11"/>
  <c r="Y24" i="11"/>
  <c r="X24" i="11"/>
  <c r="W24" i="11"/>
  <c r="V24" i="11"/>
  <c r="U24" i="11"/>
  <c r="T24" i="11"/>
  <c r="S24" i="11"/>
  <c r="R24" i="11"/>
  <c r="Q24" i="11"/>
  <c r="P24" i="11"/>
  <c r="O24" i="11"/>
  <c r="N24" i="11"/>
  <c r="M24" i="11"/>
  <c r="L24" i="11"/>
  <c r="K24" i="11"/>
  <c r="J24" i="11"/>
  <c r="E24" i="11"/>
  <c r="D24" i="11"/>
  <c r="G22" i="11"/>
  <c r="E22" i="11"/>
  <c r="D22" i="11"/>
  <c r="D21" i="11" s="1"/>
  <c r="AG21" i="11"/>
  <c r="AF21" i="11"/>
  <c r="AE21" i="11"/>
  <c r="AD21" i="11"/>
  <c r="AC21" i="11"/>
  <c r="AB21" i="11"/>
  <c r="AA21" i="11"/>
  <c r="Z21" i="11"/>
  <c r="Y21" i="11"/>
  <c r="X21" i="11"/>
  <c r="W21" i="11"/>
  <c r="V21" i="11"/>
  <c r="U21" i="11"/>
  <c r="T21" i="11"/>
  <c r="S21" i="11"/>
  <c r="R21" i="11"/>
  <c r="Q21" i="11"/>
  <c r="P21" i="11"/>
  <c r="O21" i="11"/>
  <c r="N21" i="11"/>
  <c r="M21" i="11"/>
  <c r="L21" i="11"/>
  <c r="K21" i="11"/>
  <c r="J21" i="11"/>
  <c r="E21" i="11"/>
  <c r="G20" i="11"/>
  <c r="F20" i="11"/>
  <c r="F19" i="11" s="1"/>
  <c r="E20" i="11"/>
  <c r="D20" i="11"/>
  <c r="AG19" i="11"/>
  <c r="AF19" i="11"/>
  <c r="AE19" i="11"/>
  <c r="AD19" i="11"/>
  <c r="AC19" i="11"/>
  <c r="AB19" i="11"/>
  <c r="AA19" i="11"/>
  <c r="Z19" i="11"/>
  <c r="Y19" i="11"/>
  <c r="X19" i="11"/>
  <c r="W19" i="11"/>
  <c r="V19" i="11"/>
  <c r="U19" i="11"/>
  <c r="T19" i="11"/>
  <c r="S19" i="11"/>
  <c r="R19" i="11"/>
  <c r="Q19" i="11"/>
  <c r="P19" i="11"/>
  <c r="O19" i="11"/>
  <c r="N19" i="11"/>
  <c r="M19" i="11"/>
  <c r="L19" i="11"/>
  <c r="K19" i="11"/>
  <c r="J19" i="11"/>
  <c r="E19" i="11"/>
  <c r="D19" i="11"/>
  <c r="G18" i="11"/>
  <c r="E18" i="11"/>
  <c r="D18" i="11"/>
  <c r="D17" i="11" s="1"/>
  <c r="AG17" i="11"/>
  <c r="AF17" i="11"/>
  <c r="AE17" i="11"/>
  <c r="AD17" i="11"/>
  <c r="AC17" i="11"/>
  <c r="AB17" i="11"/>
  <c r="AA17" i="11"/>
  <c r="Z17" i="11"/>
  <c r="Y17" i="11"/>
  <c r="X17" i="11"/>
  <c r="W17" i="11"/>
  <c r="V17" i="11"/>
  <c r="U17" i="11"/>
  <c r="T17" i="11"/>
  <c r="S17" i="11"/>
  <c r="R17" i="11"/>
  <c r="Q17" i="11"/>
  <c r="P17" i="11"/>
  <c r="O17" i="11"/>
  <c r="N17" i="11"/>
  <c r="M17" i="11"/>
  <c r="L17" i="11"/>
  <c r="K17" i="11"/>
  <c r="J17" i="11"/>
  <c r="E17" i="11"/>
  <c r="G16" i="11"/>
  <c r="F16" i="11"/>
  <c r="F15" i="11" s="1"/>
  <c r="E16" i="11"/>
  <c r="D16" i="11"/>
  <c r="AG15" i="11"/>
  <c r="AF15" i="11"/>
  <c r="AE15" i="11"/>
  <c r="AD15" i="11"/>
  <c r="AC15" i="11"/>
  <c r="AB15" i="11"/>
  <c r="AA15" i="11"/>
  <c r="Z15" i="11"/>
  <c r="Y15" i="11"/>
  <c r="X15" i="11"/>
  <c r="W15" i="11"/>
  <c r="V15" i="11"/>
  <c r="U15" i="11"/>
  <c r="T15" i="11"/>
  <c r="S15" i="11"/>
  <c r="R15" i="11"/>
  <c r="Q15" i="11"/>
  <c r="P15" i="11"/>
  <c r="O15" i="11"/>
  <c r="N15" i="11"/>
  <c r="M15" i="11"/>
  <c r="L15" i="11"/>
  <c r="K15" i="11"/>
  <c r="J15" i="11"/>
  <c r="E15" i="11"/>
  <c r="D15" i="11"/>
  <c r="G14" i="11"/>
  <c r="E14" i="11"/>
  <c r="D14" i="11"/>
  <c r="D13" i="11" s="1"/>
  <c r="AG13" i="11"/>
  <c r="AF13" i="11"/>
  <c r="AE13" i="11"/>
  <c r="AD13" i="11"/>
  <c r="AC13" i="11"/>
  <c r="AB13" i="11"/>
  <c r="AA13" i="11"/>
  <c r="Z13" i="11"/>
  <c r="Y13" i="11"/>
  <c r="X13" i="11"/>
  <c r="W13" i="11"/>
  <c r="V13" i="11"/>
  <c r="U13" i="11"/>
  <c r="T13" i="11"/>
  <c r="S13" i="11"/>
  <c r="R13" i="11"/>
  <c r="Q13" i="11"/>
  <c r="P13" i="11"/>
  <c r="O13" i="11"/>
  <c r="N13" i="11"/>
  <c r="M13" i="11"/>
  <c r="L13" i="11"/>
  <c r="K13" i="11"/>
  <c r="J13" i="11"/>
  <c r="E13" i="11"/>
  <c r="AG12" i="11"/>
  <c r="AF12" i="11"/>
  <c r="AF9" i="11" s="1"/>
  <c r="AF8" i="11" s="1"/>
  <c r="AE12" i="11"/>
  <c r="AE9" i="11" s="1"/>
  <c r="AE8" i="11" s="1"/>
  <c r="AD12" i="11"/>
  <c r="AD9" i="11" s="1"/>
  <c r="AD8" i="11" s="1"/>
  <c r="AC12" i="11"/>
  <c r="AB12" i="11"/>
  <c r="AA12" i="11"/>
  <c r="AA11" i="11" s="1"/>
  <c r="Z12" i="11"/>
  <c r="Y12" i="11"/>
  <c r="X12" i="11"/>
  <c r="X9" i="11" s="1"/>
  <c r="X8" i="11" s="1"/>
  <c r="W12" i="11"/>
  <c r="W9" i="11" s="1"/>
  <c r="W8" i="11" s="1"/>
  <c r="V12" i="11"/>
  <c r="V9" i="11" s="1"/>
  <c r="V8" i="11" s="1"/>
  <c r="U12" i="11"/>
  <c r="T12" i="11"/>
  <c r="S12" i="11"/>
  <c r="S11" i="11" s="1"/>
  <c r="R12" i="11"/>
  <c r="Q12" i="11"/>
  <c r="P12" i="11"/>
  <c r="P9" i="11" s="1"/>
  <c r="P8" i="11" s="1"/>
  <c r="O12" i="11"/>
  <c r="O9" i="11" s="1"/>
  <c r="O8" i="11" s="1"/>
  <c r="N12" i="11"/>
  <c r="D12" i="11" s="1"/>
  <c r="D11" i="11" s="1"/>
  <c r="M12" i="11"/>
  <c r="L12" i="11"/>
  <c r="K12" i="11"/>
  <c r="K11" i="11" s="1"/>
  <c r="J12" i="11"/>
  <c r="E12" i="11" s="1"/>
  <c r="E11" i="11" s="1"/>
  <c r="G12" i="11"/>
  <c r="I12" i="11" s="1"/>
  <c r="F12" i="11"/>
  <c r="F11" i="11" s="1"/>
  <c r="AG11" i="11"/>
  <c r="AC11" i="11"/>
  <c r="AB11" i="11"/>
  <c r="Z11" i="11"/>
  <c r="Y11" i="11"/>
  <c r="U11" i="11"/>
  <c r="T11" i="11"/>
  <c r="R11" i="11"/>
  <c r="Q11" i="11"/>
  <c r="M11" i="11"/>
  <c r="L11" i="11"/>
  <c r="J11" i="11"/>
  <c r="AG9" i="11"/>
  <c r="AC9" i="11"/>
  <c r="AB9" i="11"/>
  <c r="AB8" i="11" s="1"/>
  <c r="AA9" i="11"/>
  <c r="AA8" i="11" s="1"/>
  <c r="Z9" i="11"/>
  <c r="Z8" i="11" s="1"/>
  <c r="Y9" i="11"/>
  <c r="U9" i="11"/>
  <c r="T9" i="11"/>
  <c r="T8" i="11" s="1"/>
  <c r="S9" i="11"/>
  <c r="S8" i="11" s="1"/>
  <c r="R9" i="11"/>
  <c r="R8" i="11" s="1"/>
  <c r="Q9" i="11"/>
  <c r="M9" i="11"/>
  <c r="L9" i="11"/>
  <c r="L8" i="11" s="1"/>
  <c r="K9" i="11"/>
  <c r="K8" i="11" s="1"/>
  <c r="J9" i="11"/>
  <c r="J8" i="11" s="1"/>
  <c r="E9" i="11"/>
  <c r="AG8" i="11"/>
  <c r="AC8" i="11"/>
  <c r="Y8" i="11"/>
  <c r="U8" i="11"/>
  <c r="Q8" i="11"/>
  <c r="M8" i="11"/>
  <c r="E8" i="11"/>
  <c r="G14" i="15"/>
  <c r="I14" i="15" s="1"/>
  <c r="D14" i="15"/>
  <c r="D13" i="15" s="1"/>
  <c r="AG13" i="15"/>
  <c r="AF13" i="15"/>
  <c r="AE13" i="15"/>
  <c r="AD13" i="15"/>
  <c r="AC13" i="15"/>
  <c r="AB13" i="15"/>
  <c r="AA13" i="15"/>
  <c r="Z13" i="15"/>
  <c r="Y13" i="15"/>
  <c r="X13" i="15"/>
  <c r="W13" i="15"/>
  <c r="V13" i="15"/>
  <c r="U13" i="15"/>
  <c r="T13" i="15"/>
  <c r="S13" i="15"/>
  <c r="R13" i="15"/>
  <c r="Q13" i="15"/>
  <c r="P13" i="15"/>
  <c r="O13" i="15"/>
  <c r="N13" i="15"/>
  <c r="M13" i="15"/>
  <c r="L13" i="15"/>
  <c r="K13" i="15"/>
  <c r="J13" i="15"/>
  <c r="E13" i="15"/>
  <c r="AG12" i="15"/>
  <c r="AF12" i="15"/>
  <c r="AF11" i="15" s="1"/>
  <c r="AE12" i="15"/>
  <c r="AE9" i="15" s="1"/>
  <c r="AE8" i="15" s="1"/>
  <c r="AD12" i="15"/>
  <c r="AD9" i="15" s="1"/>
  <c r="AD8" i="15" s="1"/>
  <c r="AC12" i="15"/>
  <c r="AB12" i="15"/>
  <c r="AA12" i="15"/>
  <c r="Z12" i="15"/>
  <c r="Z9" i="15" s="1"/>
  <c r="Z8" i="15" s="1"/>
  <c r="Y12" i="15"/>
  <c r="X12" i="15"/>
  <c r="X11" i="15" s="1"/>
  <c r="W12" i="15"/>
  <c r="W9" i="15" s="1"/>
  <c r="W8" i="15" s="1"/>
  <c r="V12" i="15"/>
  <c r="V9" i="15" s="1"/>
  <c r="V8" i="15" s="1"/>
  <c r="U12" i="15"/>
  <c r="T12" i="15"/>
  <c r="T11" i="15" s="1"/>
  <c r="S12" i="15"/>
  <c r="R12" i="15"/>
  <c r="Q12" i="15"/>
  <c r="P12" i="15"/>
  <c r="P11" i="15" s="1"/>
  <c r="O12" i="15"/>
  <c r="O9" i="15" s="1"/>
  <c r="O8" i="15" s="1"/>
  <c r="N12" i="15"/>
  <c r="M12" i="15"/>
  <c r="M11" i="15" s="1"/>
  <c r="L12" i="15"/>
  <c r="K12" i="15"/>
  <c r="K9" i="15" s="1"/>
  <c r="K8" i="15" s="1"/>
  <c r="J12" i="15"/>
  <c r="AG11" i="15"/>
  <c r="AC11" i="15"/>
  <c r="AB11" i="15"/>
  <c r="AA11" i="15"/>
  <c r="Y11" i="15"/>
  <c r="U11" i="15"/>
  <c r="S11" i="15"/>
  <c r="R11" i="15"/>
  <c r="Q11" i="15"/>
  <c r="L11" i="15"/>
  <c r="J11" i="15"/>
  <c r="E11" i="15"/>
  <c r="AG9" i="15"/>
  <c r="AC9" i="15"/>
  <c r="AB9" i="15"/>
  <c r="AB8" i="15" s="1"/>
  <c r="AA9" i="15"/>
  <c r="AA8" i="15" s="1"/>
  <c r="Y9" i="15"/>
  <c r="X9" i="15"/>
  <c r="U9" i="15"/>
  <c r="T9" i="15"/>
  <c r="T8" i="15" s="1"/>
  <c r="S9" i="15"/>
  <c r="S8" i="15" s="1"/>
  <c r="R9" i="15"/>
  <c r="R8" i="15" s="1"/>
  <c r="Q9" i="15"/>
  <c r="P9" i="15"/>
  <c r="P8" i="15" s="1"/>
  <c r="L9" i="15"/>
  <c r="L8" i="15" s="1"/>
  <c r="J9" i="15"/>
  <c r="J8" i="15" s="1"/>
  <c r="AG8" i="15"/>
  <c r="AC8" i="15"/>
  <c r="Y8" i="15"/>
  <c r="X8" i="15"/>
  <c r="U8" i="15"/>
  <c r="Q8" i="15"/>
  <c r="E8" i="15"/>
  <c r="K8" i="6" l="1"/>
  <c r="AA8" i="6"/>
  <c r="AF8" i="6"/>
  <c r="S8" i="6"/>
  <c r="N8" i="6"/>
  <c r="Z8" i="6"/>
  <c r="O20" i="18"/>
  <c r="G21" i="18"/>
  <c r="I23" i="18"/>
  <c r="H23" i="18"/>
  <c r="AE8" i="6"/>
  <c r="F29" i="6"/>
  <c r="X8" i="6"/>
  <c r="Q8" i="6"/>
  <c r="F16" i="6"/>
  <c r="F11" i="6" s="1"/>
  <c r="D38" i="6"/>
  <c r="F33" i="6"/>
  <c r="F15" i="6"/>
  <c r="G13" i="6"/>
  <c r="G11" i="6"/>
  <c r="AJ11" i="6" s="1"/>
  <c r="D13" i="6"/>
  <c r="L8" i="6"/>
  <c r="D10" i="6"/>
  <c r="D11" i="6"/>
  <c r="M9" i="15"/>
  <c r="M8" i="15" s="1"/>
  <c r="Z11" i="15"/>
  <c r="J8" i="6"/>
  <c r="AF9" i="15"/>
  <c r="AF8" i="15" s="1"/>
  <c r="D12" i="15"/>
  <c r="D9" i="15" s="1"/>
  <c r="AJ21" i="6"/>
  <c r="AJ15" i="6"/>
  <c r="G10" i="6"/>
  <c r="AJ46" i="6"/>
  <c r="AJ39" i="6"/>
  <c r="AJ33" i="6"/>
  <c r="AJ25" i="6"/>
  <c r="AJ17" i="6"/>
  <c r="AJ41" i="6"/>
  <c r="AJ29" i="6"/>
  <c r="AJ14" i="6"/>
  <c r="AJ40" i="6"/>
  <c r="AJ42" i="6"/>
  <c r="T8" i="6"/>
  <c r="K11" i="15"/>
  <c r="G12" i="15"/>
  <c r="G11" i="15" s="1"/>
  <c r="P8" i="6"/>
  <c r="AB8" i="6"/>
  <c r="AC8" i="6"/>
  <c r="H14" i="6"/>
  <c r="I15" i="6"/>
  <c r="R8" i="6"/>
  <c r="AD8" i="6"/>
  <c r="I42" i="6"/>
  <c r="I33" i="6"/>
  <c r="I21" i="6"/>
  <c r="H15" i="6"/>
  <c r="I17" i="6"/>
  <c r="I25" i="6"/>
  <c r="H42" i="6"/>
  <c r="I39" i="6"/>
  <c r="G38" i="6"/>
  <c r="I38" i="6" s="1"/>
  <c r="H39" i="6"/>
  <c r="I29" i="6"/>
  <c r="F38" i="6"/>
  <c r="F21" i="6"/>
  <c r="F42" i="6"/>
  <c r="H29" i="6"/>
  <c r="H25" i="6"/>
  <c r="I14" i="6"/>
  <c r="H17" i="6"/>
  <c r="H41" i="6"/>
  <c r="H33" i="6"/>
  <c r="H40" i="6"/>
  <c r="H21" i="6"/>
  <c r="F25" i="6"/>
  <c r="I16" i="6"/>
  <c r="I46" i="6"/>
  <c r="H46" i="6"/>
  <c r="H16" i="6"/>
  <c r="D29" i="18"/>
  <c r="D20" i="18"/>
  <c r="K9" i="18"/>
  <c r="S9" i="18"/>
  <c r="S8" i="18" s="1"/>
  <c r="AA9" i="18"/>
  <c r="AA8" i="18" s="1"/>
  <c r="G12" i="18"/>
  <c r="AD11" i="18"/>
  <c r="N20" i="18"/>
  <c r="N29" i="18"/>
  <c r="E9" i="18"/>
  <c r="E8" i="18" s="1"/>
  <c r="G24" i="18"/>
  <c r="G29" i="18"/>
  <c r="N9" i="18"/>
  <c r="N8" i="18" s="1"/>
  <c r="V9" i="18"/>
  <c r="V8" i="18" s="1"/>
  <c r="P11" i="18"/>
  <c r="X11" i="18"/>
  <c r="AF11" i="18"/>
  <c r="F14" i="18"/>
  <c r="F13" i="18" s="1"/>
  <c r="F18" i="18"/>
  <c r="F17" i="18" s="1"/>
  <c r="F23" i="18"/>
  <c r="F22" i="18" s="1"/>
  <c r="F27" i="18"/>
  <c r="F26" i="18" s="1"/>
  <c r="F32" i="18"/>
  <c r="F31" i="18" s="1"/>
  <c r="J8" i="18"/>
  <c r="D12" i="18"/>
  <c r="D11" i="18" s="1"/>
  <c r="H32" i="18"/>
  <c r="G13" i="18"/>
  <c r="G22" i="18"/>
  <c r="G26" i="18"/>
  <c r="G31" i="18"/>
  <c r="I9" i="11"/>
  <c r="G8" i="11"/>
  <c r="N11" i="11"/>
  <c r="V11" i="11"/>
  <c r="AD11" i="11"/>
  <c r="H12" i="11"/>
  <c r="F24" i="11"/>
  <c r="G11" i="11"/>
  <c r="O11" i="11"/>
  <c r="W11" i="11"/>
  <c r="AE11" i="11"/>
  <c r="G15" i="11"/>
  <c r="G19" i="11"/>
  <c r="G24" i="11"/>
  <c r="N9" i="11"/>
  <c r="N8" i="11" s="1"/>
  <c r="P11" i="11"/>
  <c r="X11" i="11"/>
  <c r="AF11" i="11"/>
  <c r="F14" i="11"/>
  <c r="F13" i="11" s="1"/>
  <c r="F18" i="11"/>
  <c r="F17" i="11" s="1"/>
  <c r="F22" i="11"/>
  <c r="F21" i="11" s="1"/>
  <c r="F27" i="11"/>
  <c r="F26" i="11" s="1"/>
  <c r="G13" i="11"/>
  <c r="G17" i="11"/>
  <c r="G21" i="11"/>
  <c r="G26" i="11"/>
  <c r="D8" i="15"/>
  <c r="N11" i="15"/>
  <c r="V11" i="15"/>
  <c r="AD11" i="15"/>
  <c r="O11" i="15"/>
  <c r="W11" i="15"/>
  <c r="AE11" i="15"/>
  <c r="N9" i="15"/>
  <c r="N8" i="15" s="1"/>
  <c r="F14" i="15"/>
  <c r="F13" i="15" s="1"/>
  <c r="H14" i="15"/>
  <c r="G13" i="15"/>
  <c r="I15" i="7"/>
  <c r="D15" i="7"/>
  <c r="AG14" i="7"/>
  <c r="AF14" i="7"/>
  <c r="AE14" i="7"/>
  <c r="AD14" i="7"/>
  <c r="AC14" i="7"/>
  <c r="AB14" i="7"/>
  <c r="AA14" i="7"/>
  <c r="Z14" i="7"/>
  <c r="Y14" i="7"/>
  <c r="X14" i="7"/>
  <c r="W14" i="7"/>
  <c r="V14" i="7"/>
  <c r="U14" i="7"/>
  <c r="T14" i="7"/>
  <c r="S14" i="7"/>
  <c r="R14" i="7"/>
  <c r="Q14" i="7"/>
  <c r="P14" i="7"/>
  <c r="O14" i="7"/>
  <c r="N14" i="7"/>
  <c r="M14" i="7"/>
  <c r="L14" i="7"/>
  <c r="K14" i="7"/>
  <c r="J14" i="7"/>
  <c r="G14" i="7"/>
  <c r="I14" i="7" s="1"/>
  <c r="D14" i="7"/>
  <c r="I13" i="7"/>
  <c r="D13" i="7"/>
  <c r="AG12" i="7"/>
  <c r="AF12" i="7"/>
  <c r="AE12" i="7"/>
  <c r="AD12" i="7"/>
  <c r="AC12" i="7"/>
  <c r="AB12" i="7"/>
  <c r="AA12" i="7"/>
  <c r="Z12" i="7"/>
  <c r="Y12" i="7"/>
  <c r="X12" i="7"/>
  <c r="W12" i="7"/>
  <c r="V12" i="7"/>
  <c r="U12" i="7"/>
  <c r="T12" i="7"/>
  <c r="S12" i="7"/>
  <c r="R12" i="7"/>
  <c r="Q12" i="7"/>
  <c r="P12" i="7"/>
  <c r="O12" i="7"/>
  <c r="N12" i="7"/>
  <c r="M12" i="7"/>
  <c r="L12" i="7"/>
  <c r="K12" i="7"/>
  <c r="J12" i="7"/>
  <c r="G12" i="7"/>
  <c r="D12" i="7"/>
  <c r="AG10" i="7"/>
  <c r="AF10" i="7"/>
  <c r="AE10" i="7"/>
  <c r="AD10" i="7"/>
  <c r="AC10" i="7"/>
  <c r="AB10" i="7"/>
  <c r="AA10" i="7"/>
  <c r="Z10" i="7"/>
  <c r="Y10" i="7"/>
  <c r="X10" i="7"/>
  <c r="W10" i="7"/>
  <c r="V10" i="7"/>
  <c r="V8" i="7" s="1"/>
  <c r="U10" i="7"/>
  <c r="T10" i="7"/>
  <c r="S10" i="7"/>
  <c r="R10" i="7"/>
  <c r="Q10" i="7"/>
  <c r="P10" i="7"/>
  <c r="O10" i="7"/>
  <c r="N10" i="7"/>
  <c r="M10" i="7"/>
  <c r="L10" i="7"/>
  <c r="K10" i="7"/>
  <c r="J10" i="7"/>
  <c r="J8" i="7" s="1"/>
  <c r="G10" i="7"/>
  <c r="E10" i="7"/>
  <c r="D10" i="7"/>
  <c r="AG9" i="7"/>
  <c r="AG8" i="7" s="1"/>
  <c r="AF9" i="7"/>
  <c r="AF8" i="7" s="1"/>
  <c r="AE9" i="7"/>
  <c r="AE8" i="7" s="1"/>
  <c r="AD9" i="7"/>
  <c r="AD8" i="7" s="1"/>
  <c r="AC9" i="7"/>
  <c r="AC8" i="7" s="1"/>
  <c r="AB9" i="7"/>
  <c r="AB8" i="7" s="1"/>
  <c r="AA9" i="7"/>
  <c r="Z9" i="7"/>
  <c r="Y9" i="7"/>
  <c r="X9" i="7"/>
  <c r="W9" i="7"/>
  <c r="V9" i="7"/>
  <c r="U9" i="7"/>
  <c r="U8" i="7" s="1"/>
  <c r="T9" i="7"/>
  <c r="T8" i="7" s="1"/>
  <c r="S9" i="7"/>
  <c r="S8" i="7" s="1"/>
  <c r="R9" i="7"/>
  <c r="R8" i="7" s="1"/>
  <c r="Q9" i="7"/>
  <c r="Q8" i="7" s="1"/>
  <c r="P9" i="7"/>
  <c r="P8" i="7" s="1"/>
  <c r="O9" i="7"/>
  <c r="N9" i="7"/>
  <c r="M9" i="7"/>
  <c r="L9" i="7"/>
  <c r="K9" i="7"/>
  <c r="J9" i="7"/>
  <c r="D9" i="7"/>
  <c r="D8" i="7" s="1"/>
  <c r="AA8" i="7"/>
  <c r="Z8" i="7"/>
  <c r="Y8" i="7"/>
  <c r="X8" i="7"/>
  <c r="W8" i="7"/>
  <c r="O8" i="7"/>
  <c r="N8" i="7"/>
  <c r="M8" i="7"/>
  <c r="L8" i="7"/>
  <c r="K8" i="7"/>
  <c r="G100" i="4"/>
  <c r="E99" i="4"/>
  <c r="D100" i="4"/>
  <c r="D99" i="4" s="1"/>
  <c r="AG99" i="4"/>
  <c r="AF99" i="4"/>
  <c r="AE99" i="4"/>
  <c r="AD99" i="4"/>
  <c r="AC99" i="4"/>
  <c r="AB99" i="4"/>
  <c r="AA99" i="4"/>
  <c r="Z99" i="4"/>
  <c r="Y99" i="4"/>
  <c r="X99" i="4"/>
  <c r="W99" i="4"/>
  <c r="V99" i="4"/>
  <c r="U99" i="4"/>
  <c r="T99" i="4"/>
  <c r="S99" i="4"/>
  <c r="R99" i="4"/>
  <c r="Q99" i="4"/>
  <c r="P99" i="4"/>
  <c r="O99" i="4"/>
  <c r="N99" i="4"/>
  <c r="M99" i="4"/>
  <c r="L99" i="4"/>
  <c r="K99" i="4"/>
  <c r="J99" i="4"/>
  <c r="G98" i="4"/>
  <c r="G97" i="4" s="1"/>
  <c r="E97" i="4"/>
  <c r="D98" i="4"/>
  <c r="D97" i="4" s="1"/>
  <c r="AG97" i="4"/>
  <c r="AF97" i="4"/>
  <c r="AE97" i="4"/>
  <c r="AD97" i="4"/>
  <c r="AC97" i="4"/>
  <c r="AB97" i="4"/>
  <c r="AA97" i="4"/>
  <c r="Z97" i="4"/>
  <c r="Y97" i="4"/>
  <c r="X97" i="4"/>
  <c r="W97" i="4"/>
  <c r="V97" i="4"/>
  <c r="U97" i="4"/>
  <c r="T97" i="4"/>
  <c r="S97" i="4"/>
  <c r="R97" i="4"/>
  <c r="Q97" i="4"/>
  <c r="P97" i="4"/>
  <c r="O97" i="4"/>
  <c r="N97" i="4"/>
  <c r="M97" i="4"/>
  <c r="L97" i="4"/>
  <c r="K97" i="4"/>
  <c r="J97" i="4"/>
  <c r="AG96" i="4"/>
  <c r="AF96" i="4"/>
  <c r="AF95" i="4" s="1"/>
  <c r="AE96" i="4"/>
  <c r="AE95" i="4" s="1"/>
  <c r="AD96" i="4"/>
  <c r="AD95" i="4" s="1"/>
  <c r="AC96" i="4"/>
  <c r="AC95" i="4" s="1"/>
  <c r="AB96" i="4"/>
  <c r="AB95" i="4" s="1"/>
  <c r="AA96" i="4"/>
  <c r="AA95" i="4" s="1"/>
  <c r="Z96" i="4"/>
  <c r="Z95" i="4" s="1"/>
  <c r="Y96" i="4"/>
  <c r="Y95" i="4" s="1"/>
  <c r="X96" i="4"/>
  <c r="X95" i="4" s="1"/>
  <c r="W96" i="4"/>
  <c r="W95" i="4" s="1"/>
  <c r="V96" i="4"/>
  <c r="V95" i="4" s="1"/>
  <c r="U96" i="4"/>
  <c r="U95" i="4" s="1"/>
  <c r="T96" i="4"/>
  <c r="T95" i="4" s="1"/>
  <c r="S96" i="4"/>
  <c r="S95" i="4" s="1"/>
  <c r="R96" i="4"/>
  <c r="R95" i="4" s="1"/>
  <c r="Q95" i="4"/>
  <c r="P96" i="4"/>
  <c r="P95" i="4" s="1"/>
  <c r="O96" i="4"/>
  <c r="O95" i="4" s="1"/>
  <c r="N96" i="4"/>
  <c r="N95" i="4" s="1"/>
  <c r="M96" i="4"/>
  <c r="M95" i="4" s="1"/>
  <c r="L96" i="4"/>
  <c r="L95" i="4" s="1"/>
  <c r="K96" i="4"/>
  <c r="J96" i="4"/>
  <c r="AG95" i="4"/>
  <c r="G93" i="4"/>
  <c r="E93" i="4"/>
  <c r="D93" i="4"/>
  <c r="G92" i="4"/>
  <c r="E92" i="4"/>
  <c r="D92" i="4"/>
  <c r="G91" i="4"/>
  <c r="E91" i="4"/>
  <c r="D91" i="4"/>
  <c r="AG90" i="4"/>
  <c r="AF90" i="4"/>
  <c r="AE90" i="4"/>
  <c r="AD90" i="4"/>
  <c r="AC90" i="4"/>
  <c r="AB90" i="4"/>
  <c r="AA90" i="4"/>
  <c r="Z90" i="4"/>
  <c r="Y90" i="4"/>
  <c r="X90" i="4"/>
  <c r="W90" i="4"/>
  <c r="V90" i="4"/>
  <c r="U90" i="4"/>
  <c r="T90" i="4"/>
  <c r="S90" i="4"/>
  <c r="R90" i="4"/>
  <c r="Q90" i="4"/>
  <c r="P90" i="4"/>
  <c r="O90" i="4"/>
  <c r="N90" i="4"/>
  <c r="M90" i="4"/>
  <c r="L90" i="4"/>
  <c r="K90" i="4"/>
  <c r="J90" i="4"/>
  <c r="G89" i="4"/>
  <c r="D89" i="4"/>
  <c r="G88" i="4"/>
  <c r="E88" i="4"/>
  <c r="D88" i="4"/>
  <c r="G87" i="4"/>
  <c r="E87" i="4"/>
  <c r="D87" i="4"/>
  <c r="AG86" i="4"/>
  <c r="AF86" i="4"/>
  <c r="AE86" i="4"/>
  <c r="AD86" i="4"/>
  <c r="AC86" i="4"/>
  <c r="AB86" i="4"/>
  <c r="AA86" i="4"/>
  <c r="Z86" i="4"/>
  <c r="Y86" i="4"/>
  <c r="X86" i="4"/>
  <c r="W86" i="4"/>
  <c r="V86" i="4"/>
  <c r="U86" i="4"/>
  <c r="T86" i="4"/>
  <c r="S86" i="4"/>
  <c r="R86" i="4"/>
  <c r="Q86" i="4"/>
  <c r="P86" i="4"/>
  <c r="O86" i="4"/>
  <c r="N86" i="4"/>
  <c r="M86" i="4"/>
  <c r="L86" i="4"/>
  <c r="K86" i="4"/>
  <c r="J86" i="4"/>
  <c r="AG85" i="4"/>
  <c r="AF85" i="4"/>
  <c r="AE85" i="4"/>
  <c r="AD85" i="4"/>
  <c r="AC85" i="4"/>
  <c r="AB85" i="4"/>
  <c r="AA85" i="4"/>
  <c r="Z85" i="4"/>
  <c r="Y85" i="4"/>
  <c r="X85" i="4"/>
  <c r="W85" i="4"/>
  <c r="V85" i="4"/>
  <c r="U85" i="4"/>
  <c r="T85" i="4"/>
  <c r="S85" i="4"/>
  <c r="R85" i="4"/>
  <c r="P85" i="4"/>
  <c r="O85" i="4"/>
  <c r="N85" i="4"/>
  <c r="M85" i="4"/>
  <c r="L85" i="4"/>
  <c r="K85" i="4"/>
  <c r="J85" i="4"/>
  <c r="E85" i="4" s="1"/>
  <c r="AG84" i="4"/>
  <c r="AF84" i="4"/>
  <c r="AE84" i="4"/>
  <c r="AD84" i="4"/>
  <c r="AC84" i="4"/>
  <c r="AB84" i="4"/>
  <c r="AA84" i="4"/>
  <c r="Z84" i="4"/>
  <c r="Y84" i="4"/>
  <c r="X84" i="4"/>
  <c r="W84" i="4"/>
  <c r="V84" i="4"/>
  <c r="U84" i="4"/>
  <c r="T84" i="4"/>
  <c r="S84" i="4"/>
  <c r="R84" i="4"/>
  <c r="Q84" i="4"/>
  <c r="P84" i="4"/>
  <c r="O84" i="4"/>
  <c r="N84" i="4"/>
  <c r="M84" i="4"/>
  <c r="L84" i="4"/>
  <c r="K84" i="4"/>
  <c r="J84" i="4"/>
  <c r="E84" i="4" s="1"/>
  <c r="AG83" i="4"/>
  <c r="AF83" i="4"/>
  <c r="AF82" i="4" s="1"/>
  <c r="AE83" i="4"/>
  <c r="AE82" i="4" s="1"/>
  <c r="AD83" i="4"/>
  <c r="AC83" i="4"/>
  <c r="AB83" i="4"/>
  <c r="AB82" i="4" s="1"/>
  <c r="AA83" i="4"/>
  <c r="Z83" i="4"/>
  <c r="Y83" i="4"/>
  <c r="X83" i="4"/>
  <c r="W83" i="4"/>
  <c r="V83" i="4"/>
  <c r="U83" i="4"/>
  <c r="T83" i="4"/>
  <c r="T82" i="4" s="1"/>
  <c r="S83" i="4"/>
  <c r="R83" i="4"/>
  <c r="Q83" i="4"/>
  <c r="P83" i="4"/>
  <c r="P82" i="4" s="1"/>
  <c r="O83" i="4"/>
  <c r="N83" i="4"/>
  <c r="M83" i="4"/>
  <c r="L83" i="4"/>
  <c r="K83" i="4"/>
  <c r="J83" i="4"/>
  <c r="E83" i="4" s="1"/>
  <c r="G81" i="4"/>
  <c r="E80" i="4"/>
  <c r="D81" i="4"/>
  <c r="D80" i="4" s="1"/>
  <c r="AG80" i="4"/>
  <c r="AF80" i="4"/>
  <c r="AE80" i="4"/>
  <c r="AD80" i="4"/>
  <c r="AC80" i="4"/>
  <c r="AB80" i="4"/>
  <c r="AA80" i="4"/>
  <c r="Z80" i="4"/>
  <c r="Y80" i="4"/>
  <c r="X80" i="4"/>
  <c r="W80" i="4"/>
  <c r="V80" i="4"/>
  <c r="U80" i="4"/>
  <c r="T80" i="4"/>
  <c r="S80" i="4"/>
  <c r="R80" i="4"/>
  <c r="Q80" i="4"/>
  <c r="P80" i="4"/>
  <c r="N80" i="4"/>
  <c r="M80" i="4"/>
  <c r="L80" i="4"/>
  <c r="K80" i="4"/>
  <c r="J80" i="4"/>
  <c r="G79" i="4"/>
  <c r="E79" i="4"/>
  <c r="D79" i="4"/>
  <c r="G78" i="4"/>
  <c r="E78" i="4"/>
  <c r="D78" i="4"/>
  <c r="AG77" i="4"/>
  <c r="AF77" i="4"/>
  <c r="AE77" i="4"/>
  <c r="AD77" i="4"/>
  <c r="AC77" i="4"/>
  <c r="AB77" i="4"/>
  <c r="AA77" i="4"/>
  <c r="Z77" i="4"/>
  <c r="Y77" i="4"/>
  <c r="X77" i="4"/>
  <c r="W77" i="4"/>
  <c r="V77" i="4"/>
  <c r="U77" i="4"/>
  <c r="T77" i="4"/>
  <c r="S77" i="4"/>
  <c r="R77" i="4"/>
  <c r="Q77" i="4"/>
  <c r="P77" i="4"/>
  <c r="O77" i="4"/>
  <c r="N77" i="4"/>
  <c r="M77" i="4"/>
  <c r="L77" i="4"/>
  <c r="K77" i="4"/>
  <c r="J77" i="4"/>
  <c r="G76" i="4"/>
  <c r="D76" i="4"/>
  <c r="G75" i="4"/>
  <c r="D75" i="4"/>
  <c r="AG74" i="4"/>
  <c r="AF74" i="4"/>
  <c r="AE74" i="4"/>
  <c r="AD74" i="4"/>
  <c r="AC74" i="4"/>
  <c r="AB74" i="4"/>
  <c r="AA74" i="4"/>
  <c r="Z74" i="4"/>
  <c r="Y74" i="4"/>
  <c r="X74" i="4"/>
  <c r="W74" i="4"/>
  <c r="V74" i="4"/>
  <c r="U74" i="4"/>
  <c r="T74" i="4"/>
  <c r="S74" i="4"/>
  <c r="R74" i="4"/>
  <c r="Q74" i="4"/>
  <c r="P74" i="4"/>
  <c r="O74" i="4"/>
  <c r="N74" i="4"/>
  <c r="M74" i="4"/>
  <c r="L74" i="4"/>
  <c r="K74" i="4"/>
  <c r="J74" i="4"/>
  <c r="G73" i="4"/>
  <c r="G72" i="4" s="1"/>
  <c r="E73" i="4"/>
  <c r="E72" i="4" s="1"/>
  <c r="D73" i="4"/>
  <c r="D72" i="4" s="1"/>
  <c r="AG72" i="4"/>
  <c r="AF72" i="4"/>
  <c r="AE72" i="4"/>
  <c r="AD72" i="4"/>
  <c r="AC72" i="4"/>
  <c r="AB72" i="4"/>
  <c r="AA72" i="4"/>
  <c r="Z72" i="4"/>
  <c r="Y72" i="4"/>
  <c r="X72" i="4"/>
  <c r="W72" i="4"/>
  <c r="V72" i="4"/>
  <c r="U72" i="4"/>
  <c r="T72" i="4"/>
  <c r="S72" i="4"/>
  <c r="R72" i="4"/>
  <c r="Q72" i="4"/>
  <c r="P72" i="4"/>
  <c r="O72" i="4"/>
  <c r="N72" i="4"/>
  <c r="M72" i="4"/>
  <c r="L72" i="4"/>
  <c r="K72" i="4"/>
  <c r="J72" i="4"/>
  <c r="G71" i="4"/>
  <c r="E71" i="4"/>
  <c r="E70" i="4" s="1"/>
  <c r="D71" i="4"/>
  <c r="D70" i="4" s="1"/>
  <c r="AG70" i="4"/>
  <c r="AF70" i="4"/>
  <c r="AE70" i="4"/>
  <c r="AD70" i="4"/>
  <c r="AC70" i="4"/>
  <c r="AB70" i="4"/>
  <c r="AA70" i="4"/>
  <c r="Z70" i="4"/>
  <c r="Y70" i="4"/>
  <c r="X70" i="4"/>
  <c r="W70" i="4"/>
  <c r="V70" i="4"/>
  <c r="U70" i="4"/>
  <c r="T70" i="4"/>
  <c r="S70" i="4"/>
  <c r="R70" i="4"/>
  <c r="Q70" i="4"/>
  <c r="P70" i="4"/>
  <c r="O70" i="4"/>
  <c r="N70" i="4"/>
  <c r="M70" i="4"/>
  <c r="L70" i="4"/>
  <c r="K70" i="4"/>
  <c r="J70" i="4"/>
  <c r="AG69" i="4"/>
  <c r="AG67" i="4" s="1"/>
  <c r="AF69" i="4"/>
  <c r="AF67" i="4" s="1"/>
  <c r="AE69" i="4"/>
  <c r="AE67" i="4" s="1"/>
  <c r="AD69" i="4"/>
  <c r="AC69" i="4"/>
  <c r="AC67" i="4" s="1"/>
  <c r="AB69" i="4"/>
  <c r="AB67" i="4" s="1"/>
  <c r="AA69" i="4"/>
  <c r="Z69" i="4"/>
  <c r="Z67" i="4" s="1"/>
  <c r="Y69" i="4"/>
  <c r="Y67" i="4" s="1"/>
  <c r="X69" i="4"/>
  <c r="X67" i="4" s="1"/>
  <c r="W69" i="4"/>
  <c r="W67" i="4" s="1"/>
  <c r="V69" i="4"/>
  <c r="V67" i="4" s="1"/>
  <c r="U69" i="4"/>
  <c r="U67" i="4" s="1"/>
  <c r="T69" i="4"/>
  <c r="T67" i="4" s="1"/>
  <c r="S69" i="4"/>
  <c r="S67" i="4" s="1"/>
  <c r="R69" i="4"/>
  <c r="R67" i="4" s="1"/>
  <c r="Q69" i="4"/>
  <c r="Q67" i="4" s="1"/>
  <c r="P69" i="4"/>
  <c r="P67" i="4" s="1"/>
  <c r="O69" i="4"/>
  <c r="O67" i="4" s="1"/>
  <c r="N69" i="4"/>
  <c r="N67" i="4" s="1"/>
  <c r="M69" i="4"/>
  <c r="M67" i="4" s="1"/>
  <c r="L69" i="4"/>
  <c r="L67" i="4" s="1"/>
  <c r="K69" i="4"/>
  <c r="J69" i="4"/>
  <c r="E69" i="4" s="1"/>
  <c r="G68" i="4"/>
  <c r="E68" i="4"/>
  <c r="D68" i="4"/>
  <c r="AD67" i="4"/>
  <c r="G64" i="4"/>
  <c r="G63" i="4" s="1"/>
  <c r="E64" i="4"/>
  <c r="E63" i="4" s="1"/>
  <c r="D64" i="4"/>
  <c r="D63" i="4" s="1"/>
  <c r="AG63" i="4"/>
  <c r="AF63" i="4"/>
  <c r="AE63" i="4"/>
  <c r="AD63" i="4"/>
  <c r="AC63" i="4"/>
  <c r="AB63" i="4"/>
  <c r="AA63" i="4"/>
  <c r="Z63" i="4"/>
  <c r="Y63" i="4"/>
  <c r="X63" i="4"/>
  <c r="W63" i="4"/>
  <c r="V63" i="4"/>
  <c r="U63" i="4"/>
  <c r="T63" i="4"/>
  <c r="S63" i="4"/>
  <c r="R63" i="4"/>
  <c r="Q63" i="4"/>
  <c r="P63" i="4"/>
  <c r="O63" i="4"/>
  <c r="N63" i="4"/>
  <c r="M63" i="4"/>
  <c r="L63" i="4"/>
  <c r="K63" i="4"/>
  <c r="J63" i="4"/>
  <c r="G61" i="4"/>
  <c r="E61" i="4"/>
  <c r="D62" i="4"/>
  <c r="D61" i="4" s="1"/>
  <c r="AG61" i="4"/>
  <c r="AF61" i="4"/>
  <c r="AE61" i="4"/>
  <c r="AD61" i="4"/>
  <c r="AC61" i="4"/>
  <c r="AB61" i="4"/>
  <c r="AA61" i="4"/>
  <c r="Z61" i="4"/>
  <c r="Y61" i="4"/>
  <c r="X61" i="4"/>
  <c r="W61" i="4"/>
  <c r="V61" i="4"/>
  <c r="U61" i="4"/>
  <c r="T61" i="4"/>
  <c r="S61" i="4"/>
  <c r="R61" i="4"/>
  <c r="Q61" i="4"/>
  <c r="P61" i="4"/>
  <c r="O61" i="4"/>
  <c r="N61" i="4"/>
  <c r="M61" i="4"/>
  <c r="L61" i="4"/>
  <c r="K61" i="4"/>
  <c r="J61" i="4"/>
  <c r="G60" i="4"/>
  <c r="D60" i="4"/>
  <c r="G59" i="4"/>
  <c r="D59" i="4"/>
  <c r="AG58" i="4"/>
  <c r="AF58" i="4"/>
  <c r="AE58" i="4"/>
  <c r="AD58" i="4"/>
  <c r="AC58" i="4"/>
  <c r="AB58" i="4"/>
  <c r="AA58" i="4"/>
  <c r="Z58" i="4"/>
  <c r="Y58" i="4"/>
  <c r="X58" i="4"/>
  <c r="W58" i="4"/>
  <c r="V58" i="4"/>
  <c r="U58" i="4"/>
  <c r="T58" i="4"/>
  <c r="S58" i="4"/>
  <c r="R58" i="4"/>
  <c r="Q58" i="4"/>
  <c r="P58" i="4"/>
  <c r="O58" i="4"/>
  <c r="N58" i="4"/>
  <c r="M58" i="4"/>
  <c r="L58" i="4"/>
  <c r="K58" i="4"/>
  <c r="J58" i="4"/>
  <c r="G57" i="4"/>
  <c r="E57" i="4"/>
  <c r="E56" i="4" s="1"/>
  <c r="D57" i="4"/>
  <c r="D56" i="4" s="1"/>
  <c r="AG56" i="4"/>
  <c r="AF56" i="4"/>
  <c r="AE56" i="4"/>
  <c r="AD56" i="4"/>
  <c r="AC56" i="4"/>
  <c r="AB56" i="4"/>
  <c r="AA56" i="4"/>
  <c r="Z56" i="4"/>
  <c r="Y56" i="4"/>
  <c r="X56" i="4"/>
  <c r="W56" i="4"/>
  <c r="V56" i="4"/>
  <c r="U56" i="4"/>
  <c r="T56" i="4"/>
  <c r="S56" i="4"/>
  <c r="R56" i="4"/>
  <c r="Q56" i="4"/>
  <c r="P56" i="4"/>
  <c r="O56" i="4"/>
  <c r="N56" i="4"/>
  <c r="M56" i="4"/>
  <c r="L56" i="4"/>
  <c r="K56" i="4"/>
  <c r="J56" i="4"/>
  <c r="G55" i="4"/>
  <c r="E54" i="4"/>
  <c r="D55" i="4"/>
  <c r="D54" i="4" s="1"/>
  <c r="AG54" i="4"/>
  <c r="AF54" i="4"/>
  <c r="AE54" i="4"/>
  <c r="AD54" i="4"/>
  <c r="AC54" i="4"/>
  <c r="AB54" i="4"/>
  <c r="AA54" i="4"/>
  <c r="Z54" i="4"/>
  <c r="Y54" i="4"/>
  <c r="X54" i="4"/>
  <c r="W54" i="4"/>
  <c r="V54" i="4"/>
  <c r="U54" i="4"/>
  <c r="T54" i="4"/>
  <c r="S54" i="4"/>
  <c r="R54" i="4"/>
  <c r="Q54" i="4"/>
  <c r="P54" i="4"/>
  <c r="O54" i="4"/>
  <c r="N54" i="4"/>
  <c r="M54" i="4"/>
  <c r="L54" i="4"/>
  <c r="K54" i="4"/>
  <c r="J54" i="4"/>
  <c r="G53" i="4"/>
  <c r="E53" i="4"/>
  <c r="E52" i="4" s="1"/>
  <c r="D53" i="4"/>
  <c r="D52" i="4" s="1"/>
  <c r="AG52" i="4"/>
  <c r="AF52" i="4"/>
  <c r="AE52" i="4"/>
  <c r="AD52" i="4"/>
  <c r="AC52" i="4"/>
  <c r="AB52" i="4"/>
  <c r="AA52" i="4"/>
  <c r="Z52" i="4"/>
  <c r="Y52" i="4"/>
  <c r="X52" i="4"/>
  <c r="W52" i="4"/>
  <c r="V52" i="4"/>
  <c r="U52" i="4"/>
  <c r="T52" i="4"/>
  <c r="S52" i="4"/>
  <c r="R52" i="4"/>
  <c r="Q52" i="4"/>
  <c r="P52" i="4"/>
  <c r="O52" i="4"/>
  <c r="N52" i="4"/>
  <c r="M52" i="4"/>
  <c r="L52" i="4"/>
  <c r="K52" i="4"/>
  <c r="J52" i="4"/>
  <c r="G51" i="4"/>
  <c r="E51" i="4"/>
  <c r="E50" i="4" s="1"/>
  <c r="D51" i="4"/>
  <c r="D50" i="4" s="1"/>
  <c r="AG50" i="4"/>
  <c r="AF50" i="4"/>
  <c r="AE50" i="4"/>
  <c r="AD50" i="4"/>
  <c r="AC50" i="4"/>
  <c r="AB50" i="4"/>
  <c r="AA50" i="4"/>
  <c r="Z50" i="4"/>
  <c r="Y50" i="4"/>
  <c r="X50" i="4"/>
  <c r="W50" i="4"/>
  <c r="V50" i="4"/>
  <c r="U50" i="4"/>
  <c r="T50" i="4"/>
  <c r="S50" i="4"/>
  <c r="R50" i="4"/>
  <c r="Q50" i="4"/>
  <c r="P50" i="4"/>
  <c r="O50" i="4"/>
  <c r="N50" i="4"/>
  <c r="M50" i="4"/>
  <c r="L50" i="4"/>
  <c r="K50" i="4"/>
  <c r="J50" i="4"/>
  <c r="G49" i="4"/>
  <c r="D49" i="4"/>
  <c r="G48" i="4"/>
  <c r="D48" i="4"/>
  <c r="AG47" i="4"/>
  <c r="AF47" i="4"/>
  <c r="AE47" i="4"/>
  <c r="AD47" i="4"/>
  <c r="AC47" i="4"/>
  <c r="AB47" i="4"/>
  <c r="AA47" i="4"/>
  <c r="Z47" i="4"/>
  <c r="Y47" i="4"/>
  <c r="X47" i="4"/>
  <c r="W47" i="4"/>
  <c r="V47" i="4"/>
  <c r="U47" i="4"/>
  <c r="T47" i="4"/>
  <c r="S47" i="4"/>
  <c r="R47" i="4"/>
  <c r="Q47" i="4"/>
  <c r="P47" i="4"/>
  <c r="O47" i="4"/>
  <c r="N47" i="4"/>
  <c r="M47" i="4"/>
  <c r="L47" i="4"/>
  <c r="K47" i="4"/>
  <c r="J47" i="4"/>
  <c r="G46" i="4"/>
  <c r="G45" i="4" s="1"/>
  <c r="E45" i="4"/>
  <c r="D46" i="4"/>
  <c r="D45" i="4" s="1"/>
  <c r="AG45" i="4"/>
  <c r="AF45" i="4"/>
  <c r="AE45" i="4"/>
  <c r="AD45" i="4"/>
  <c r="AC45" i="4"/>
  <c r="AB45" i="4"/>
  <c r="AA45" i="4"/>
  <c r="Z45" i="4"/>
  <c r="Y45" i="4"/>
  <c r="X45" i="4"/>
  <c r="W45" i="4"/>
  <c r="V45" i="4"/>
  <c r="U45" i="4"/>
  <c r="T45" i="4"/>
  <c r="S45" i="4"/>
  <c r="R45" i="4"/>
  <c r="Q45" i="4"/>
  <c r="P45" i="4"/>
  <c r="N45" i="4"/>
  <c r="M45" i="4"/>
  <c r="L45" i="4"/>
  <c r="K45" i="4"/>
  <c r="J45" i="4"/>
  <c r="G44" i="4"/>
  <c r="E43" i="4"/>
  <c r="D44" i="4"/>
  <c r="D43" i="4" s="1"/>
  <c r="AG43" i="4"/>
  <c r="AF43" i="4"/>
  <c r="AE43" i="4"/>
  <c r="AD43" i="4"/>
  <c r="AC43" i="4"/>
  <c r="AB43" i="4"/>
  <c r="AA43" i="4"/>
  <c r="Z43" i="4"/>
  <c r="Y43" i="4"/>
  <c r="X43" i="4"/>
  <c r="W43" i="4"/>
  <c r="V43" i="4"/>
  <c r="U43" i="4"/>
  <c r="T43" i="4"/>
  <c r="S43" i="4"/>
  <c r="R43" i="4"/>
  <c r="Q43" i="4"/>
  <c r="P43" i="4"/>
  <c r="O43" i="4"/>
  <c r="N43" i="4"/>
  <c r="M43" i="4"/>
  <c r="L43" i="4"/>
  <c r="K43" i="4"/>
  <c r="J43" i="4"/>
  <c r="G42" i="4"/>
  <c r="D42" i="4"/>
  <c r="G41" i="4"/>
  <c r="D41" i="4"/>
  <c r="AG40" i="4"/>
  <c r="AF40" i="4"/>
  <c r="AE40" i="4"/>
  <c r="AD40" i="4"/>
  <c r="AC40" i="4"/>
  <c r="AB40" i="4"/>
  <c r="AA40" i="4"/>
  <c r="Z40" i="4"/>
  <c r="Y40" i="4"/>
  <c r="X40" i="4"/>
  <c r="W40" i="4"/>
  <c r="V40" i="4"/>
  <c r="U40" i="4"/>
  <c r="T40" i="4"/>
  <c r="S40" i="4"/>
  <c r="R40" i="4"/>
  <c r="Q40" i="4"/>
  <c r="P40" i="4"/>
  <c r="O40" i="4"/>
  <c r="N40" i="4"/>
  <c r="M40" i="4"/>
  <c r="L40" i="4"/>
  <c r="K40" i="4"/>
  <c r="J40" i="4"/>
  <c r="AG39" i="4"/>
  <c r="AG36" i="4" s="1"/>
  <c r="AF39" i="4"/>
  <c r="AF36" i="4" s="1"/>
  <c r="AF12" i="4" s="1"/>
  <c r="AE39" i="4"/>
  <c r="AE36" i="4" s="1"/>
  <c r="AE12" i="4" s="1"/>
  <c r="AD39" i="4"/>
  <c r="AD36" i="4" s="1"/>
  <c r="AD12" i="4" s="1"/>
  <c r="AC39" i="4"/>
  <c r="AC36" i="4" s="1"/>
  <c r="AC12" i="4" s="1"/>
  <c r="AB39" i="4"/>
  <c r="AB36" i="4" s="1"/>
  <c r="AB12" i="4" s="1"/>
  <c r="AA39" i="4"/>
  <c r="AA36" i="4" s="1"/>
  <c r="Z39" i="4"/>
  <c r="Z36" i="4" s="1"/>
  <c r="Y39" i="4"/>
  <c r="Y36" i="4" s="1"/>
  <c r="Y12" i="4" s="1"/>
  <c r="X39" i="4"/>
  <c r="X36" i="4" s="1"/>
  <c r="W39" i="4"/>
  <c r="W36" i="4" s="1"/>
  <c r="V39" i="4"/>
  <c r="V36" i="4" s="1"/>
  <c r="V12" i="4" s="1"/>
  <c r="U39" i="4"/>
  <c r="U36" i="4" s="1"/>
  <c r="U12" i="4" s="1"/>
  <c r="T39" i="4"/>
  <c r="T36" i="4" s="1"/>
  <c r="T12" i="4" s="1"/>
  <c r="S39" i="4"/>
  <c r="S36" i="4" s="1"/>
  <c r="S12" i="4" s="1"/>
  <c r="R39" i="4"/>
  <c r="R36" i="4" s="1"/>
  <c r="R12" i="4" s="1"/>
  <c r="Q39" i="4"/>
  <c r="Q36" i="4" s="1"/>
  <c r="Q12" i="4" s="1"/>
  <c r="P39" i="4"/>
  <c r="P36" i="4" s="1"/>
  <c r="P12" i="4" s="1"/>
  <c r="O12" i="4"/>
  <c r="N39" i="4"/>
  <c r="N36" i="4" s="1"/>
  <c r="M39" i="4"/>
  <c r="M36" i="4" s="1"/>
  <c r="M12" i="4" s="1"/>
  <c r="L39" i="4"/>
  <c r="L36" i="4" s="1"/>
  <c r="K39" i="4"/>
  <c r="J39" i="4"/>
  <c r="E38" i="4"/>
  <c r="G33" i="4"/>
  <c r="E33" i="4"/>
  <c r="D33" i="4"/>
  <c r="G32" i="4"/>
  <c r="E32" i="4"/>
  <c r="D32" i="4"/>
  <c r="G31" i="4"/>
  <c r="E31" i="4"/>
  <c r="D31" i="4"/>
  <c r="AG30" i="4"/>
  <c r="AF30" i="4"/>
  <c r="AE30" i="4"/>
  <c r="AD30" i="4"/>
  <c r="AC30" i="4"/>
  <c r="AB30" i="4"/>
  <c r="AA30" i="4"/>
  <c r="Z30" i="4"/>
  <c r="Y30" i="4"/>
  <c r="X30" i="4"/>
  <c r="W30" i="4"/>
  <c r="V30" i="4"/>
  <c r="U30" i="4"/>
  <c r="T30" i="4"/>
  <c r="S30" i="4"/>
  <c r="R30" i="4"/>
  <c r="Q30" i="4"/>
  <c r="P30" i="4"/>
  <c r="O30" i="4"/>
  <c r="N30" i="4"/>
  <c r="M30" i="4"/>
  <c r="L30" i="4"/>
  <c r="K30" i="4"/>
  <c r="J30" i="4"/>
  <c r="G29" i="4"/>
  <c r="D29" i="4"/>
  <c r="G28" i="4"/>
  <c r="E28" i="4"/>
  <c r="D28" i="4"/>
  <c r="G27" i="4"/>
  <c r="E27" i="4"/>
  <c r="D27" i="4"/>
  <c r="AG26" i="4"/>
  <c r="AF26" i="4"/>
  <c r="AE26" i="4"/>
  <c r="AD26" i="4"/>
  <c r="AC26" i="4"/>
  <c r="AB26" i="4"/>
  <c r="AA26" i="4"/>
  <c r="Z26" i="4"/>
  <c r="Y26" i="4"/>
  <c r="X26" i="4"/>
  <c r="W26" i="4"/>
  <c r="V26" i="4"/>
  <c r="U26" i="4"/>
  <c r="T26" i="4"/>
  <c r="S26" i="4"/>
  <c r="R26" i="4"/>
  <c r="Q26" i="4"/>
  <c r="P26" i="4"/>
  <c r="O26" i="4"/>
  <c r="N26" i="4"/>
  <c r="M26" i="4"/>
  <c r="L26" i="4"/>
  <c r="K26" i="4"/>
  <c r="J26" i="4"/>
  <c r="G25" i="4"/>
  <c r="D25" i="4"/>
  <c r="G24" i="4"/>
  <c r="D24" i="4"/>
  <c r="G23" i="4"/>
  <c r="E23" i="4"/>
  <c r="D23" i="4"/>
  <c r="AG22" i="4"/>
  <c r="AF22" i="4"/>
  <c r="AE22" i="4"/>
  <c r="AD22" i="4"/>
  <c r="AC22" i="4"/>
  <c r="AB22" i="4"/>
  <c r="AA22" i="4"/>
  <c r="Z22" i="4"/>
  <c r="Y22" i="4"/>
  <c r="X22" i="4"/>
  <c r="W22" i="4"/>
  <c r="V22" i="4"/>
  <c r="U22" i="4"/>
  <c r="T22" i="4"/>
  <c r="S22" i="4"/>
  <c r="R22" i="4"/>
  <c r="Q22" i="4"/>
  <c r="P22" i="4"/>
  <c r="O22" i="4"/>
  <c r="N22" i="4"/>
  <c r="M22" i="4"/>
  <c r="L22" i="4"/>
  <c r="K22" i="4"/>
  <c r="J22" i="4"/>
  <c r="G21" i="4"/>
  <c r="E21" i="4"/>
  <c r="D21" i="4"/>
  <c r="G20" i="4"/>
  <c r="E20" i="4"/>
  <c r="D20" i="4"/>
  <c r="G19" i="4"/>
  <c r="E19" i="4"/>
  <c r="D19" i="4"/>
  <c r="AG18" i="4"/>
  <c r="AF18" i="4"/>
  <c r="AE18" i="4"/>
  <c r="AD18" i="4"/>
  <c r="AC18" i="4"/>
  <c r="AB18" i="4"/>
  <c r="AA18" i="4"/>
  <c r="Z18" i="4"/>
  <c r="Y18" i="4"/>
  <c r="X18" i="4"/>
  <c r="W18" i="4"/>
  <c r="V18" i="4"/>
  <c r="U18" i="4"/>
  <c r="T18" i="4"/>
  <c r="S18" i="4"/>
  <c r="R18" i="4"/>
  <c r="Q18" i="4"/>
  <c r="P18" i="4"/>
  <c r="O18" i="4"/>
  <c r="N18" i="4"/>
  <c r="M18" i="4"/>
  <c r="L18" i="4"/>
  <c r="K18" i="4"/>
  <c r="J18" i="4"/>
  <c r="AG17" i="4"/>
  <c r="AF17" i="4"/>
  <c r="AE17" i="4"/>
  <c r="AD17" i="4"/>
  <c r="AC17" i="4"/>
  <c r="AB17" i="4"/>
  <c r="AA17" i="4"/>
  <c r="Z17" i="4"/>
  <c r="Y17" i="4"/>
  <c r="X17" i="4"/>
  <c r="W17" i="4"/>
  <c r="V17" i="4"/>
  <c r="U17" i="4"/>
  <c r="T17" i="4"/>
  <c r="S17" i="4"/>
  <c r="R17" i="4"/>
  <c r="Q17" i="4"/>
  <c r="P17" i="4"/>
  <c r="O17" i="4"/>
  <c r="N17" i="4"/>
  <c r="M17" i="4"/>
  <c r="L17" i="4"/>
  <c r="K17" i="4"/>
  <c r="J17" i="4"/>
  <c r="AG16" i="4"/>
  <c r="AF16" i="4"/>
  <c r="AF10" i="4" s="1"/>
  <c r="AE16" i="4"/>
  <c r="AE10" i="4" s="1"/>
  <c r="AD16" i="4"/>
  <c r="AC16" i="4"/>
  <c r="AB16" i="4"/>
  <c r="AB10" i="4" s="1"/>
  <c r="AA16" i="4"/>
  <c r="Z16" i="4"/>
  <c r="Y16" i="4"/>
  <c r="X16" i="4"/>
  <c r="W16" i="4"/>
  <c r="W10" i="4" s="1"/>
  <c r="V16" i="4"/>
  <c r="U16" i="4"/>
  <c r="T16" i="4"/>
  <c r="T10" i="4" s="1"/>
  <c r="S16" i="4"/>
  <c r="R16" i="4"/>
  <c r="Q16" i="4"/>
  <c r="P16" i="4"/>
  <c r="O16" i="4"/>
  <c r="N16" i="4"/>
  <c r="N10" i="4" s="1"/>
  <c r="M16" i="4"/>
  <c r="L16" i="4"/>
  <c r="K16" i="4"/>
  <c r="J16" i="4"/>
  <c r="E16" i="4" s="1"/>
  <c r="AG15" i="4"/>
  <c r="AG9" i="4" s="1"/>
  <c r="AF15" i="4"/>
  <c r="AF9" i="4" s="1"/>
  <c r="AE15" i="4"/>
  <c r="AE9" i="4" s="1"/>
  <c r="AD15" i="4"/>
  <c r="AD9" i="4" s="1"/>
  <c r="AC15" i="4"/>
  <c r="AC9" i="4" s="1"/>
  <c r="AB15" i="4"/>
  <c r="AB9" i="4" s="1"/>
  <c r="AA15" i="4"/>
  <c r="AA9" i="4" s="1"/>
  <c r="Z15" i="4"/>
  <c r="Z9" i="4" s="1"/>
  <c r="Y15" i="4"/>
  <c r="Y9" i="4" s="1"/>
  <c r="X15" i="4"/>
  <c r="X9" i="4" s="1"/>
  <c r="W15" i="4"/>
  <c r="W9" i="4" s="1"/>
  <c r="V15" i="4"/>
  <c r="V9" i="4" s="1"/>
  <c r="U15" i="4"/>
  <c r="U9" i="4" s="1"/>
  <c r="T15" i="4"/>
  <c r="T9" i="4" s="1"/>
  <c r="S15" i="4"/>
  <c r="S9" i="4" s="1"/>
  <c r="R15" i="4"/>
  <c r="R9" i="4" s="1"/>
  <c r="Q15" i="4"/>
  <c r="Q9" i="4" s="1"/>
  <c r="P15" i="4"/>
  <c r="P9" i="4" s="1"/>
  <c r="O15" i="4"/>
  <c r="O9" i="4" s="1"/>
  <c r="N15" i="4"/>
  <c r="N9" i="4" s="1"/>
  <c r="M15" i="4"/>
  <c r="M9" i="4" s="1"/>
  <c r="L15" i="4"/>
  <c r="L9" i="4" s="1"/>
  <c r="K15" i="4"/>
  <c r="K9" i="4" s="1"/>
  <c r="J15" i="4"/>
  <c r="P10" i="4" l="1"/>
  <c r="K10" i="4"/>
  <c r="D30" i="4"/>
  <c r="D11" i="15"/>
  <c r="X10" i="4"/>
  <c r="L10" i="4"/>
  <c r="Q82" i="4"/>
  <c r="E96" i="4"/>
  <c r="E95" i="4" s="1"/>
  <c r="AF37" i="4"/>
  <c r="I22" i="18"/>
  <c r="H22" i="18"/>
  <c r="H21" i="18"/>
  <c r="I21" i="18"/>
  <c r="F21" i="18"/>
  <c r="F20" i="18" s="1"/>
  <c r="G20" i="18"/>
  <c r="P37" i="4"/>
  <c r="AB37" i="4"/>
  <c r="AG37" i="4"/>
  <c r="W37" i="4"/>
  <c r="Y37" i="4"/>
  <c r="R37" i="4"/>
  <c r="H12" i="15"/>
  <c r="I11" i="6"/>
  <c r="H11" i="6"/>
  <c r="S35" i="4"/>
  <c r="S11" i="4" s="1"/>
  <c r="AE35" i="4"/>
  <c r="AE11" i="4" s="1"/>
  <c r="AE8" i="4" s="1"/>
  <c r="V10" i="4"/>
  <c r="D8" i="6"/>
  <c r="F10" i="6"/>
  <c r="F8" i="6" s="1"/>
  <c r="F13" i="6"/>
  <c r="AJ10" i="6"/>
  <c r="G8" i="6"/>
  <c r="I8" i="6" s="1"/>
  <c r="I13" i="6"/>
  <c r="I10" i="7"/>
  <c r="I12" i="7"/>
  <c r="AJ38" i="6"/>
  <c r="I10" i="6"/>
  <c r="AJ13" i="6"/>
  <c r="I12" i="15"/>
  <c r="G9" i="15"/>
  <c r="H9" i="15" s="1"/>
  <c r="F12" i="15"/>
  <c r="U37" i="4"/>
  <c r="E58" i="4"/>
  <c r="H10" i="6"/>
  <c r="Q10" i="4"/>
  <c r="I42" i="4"/>
  <c r="I57" i="4"/>
  <c r="AC10" i="4"/>
  <c r="U35" i="4"/>
  <c r="U11" i="4" s="1"/>
  <c r="AD10" i="4"/>
  <c r="D40" i="4"/>
  <c r="J67" i="4"/>
  <c r="Z37" i="4"/>
  <c r="J10" i="4"/>
  <c r="E10" i="4" s="1"/>
  <c r="R10" i="4"/>
  <c r="Z10" i="4"/>
  <c r="AG35" i="4"/>
  <c r="AG11" i="4" s="1"/>
  <c r="H13" i="6"/>
  <c r="I59" i="4"/>
  <c r="AD37" i="4"/>
  <c r="L35" i="4"/>
  <c r="L34" i="4" s="1"/>
  <c r="X35" i="4"/>
  <c r="X34" i="4" s="1"/>
  <c r="N35" i="4"/>
  <c r="N34" i="4" s="1"/>
  <c r="Z35" i="4"/>
  <c r="Z11" i="4" s="1"/>
  <c r="M10" i="4"/>
  <c r="Y10" i="4"/>
  <c r="D18" i="4"/>
  <c r="H38" i="6"/>
  <c r="AA12" i="4"/>
  <c r="S10" i="4"/>
  <c r="I44" i="4"/>
  <c r="I51" i="4"/>
  <c r="U14" i="4"/>
  <c r="I33" i="4"/>
  <c r="AG14" i="4"/>
  <c r="I23" i="4"/>
  <c r="AA37" i="4"/>
  <c r="AE37" i="4"/>
  <c r="I28" i="4"/>
  <c r="D84" i="4"/>
  <c r="O37" i="4"/>
  <c r="E77" i="4"/>
  <c r="AA14" i="4"/>
  <c r="AA35" i="4"/>
  <c r="AA34" i="4" s="1"/>
  <c r="O14" i="4"/>
  <c r="I31" i="4"/>
  <c r="R14" i="4"/>
  <c r="I55" i="4"/>
  <c r="I79" i="4"/>
  <c r="I100" i="4"/>
  <c r="I93" i="4"/>
  <c r="N14" i="4"/>
  <c r="Z14" i="4"/>
  <c r="I76" i="4"/>
  <c r="D90" i="4"/>
  <c r="E90" i="4"/>
  <c r="G90" i="4"/>
  <c r="G17" i="4"/>
  <c r="F17" i="4" s="1"/>
  <c r="E26" i="4"/>
  <c r="E30" i="4"/>
  <c r="T14" i="4"/>
  <c r="S14" i="4"/>
  <c r="V35" i="4"/>
  <c r="V34" i="4" s="1"/>
  <c r="D58" i="4"/>
  <c r="AD14" i="4"/>
  <c r="AF14" i="4"/>
  <c r="D22" i="4"/>
  <c r="D26" i="4"/>
  <c r="D47" i="4"/>
  <c r="G74" i="4"/>
  <c r="I48" i="4"/>
  <c r="G99" i="4"/>
  <c r="I99" i="4" s="1"/>
  <c r="L37" i="4"/>
  <c r="L14" i="4"/>
  <c r="X14" i="4"/>
  <c r="E22" i="4"/>
  <c r="O11" i="4"/>
  <c r="I81" i="4"/>
  <c r="I89" i="4"/>
  <c r="G83" i="4"/>
  <c r="I83" i="4" s="1"/>
  <c r="D86" i="4"/>
  <c r="E86" i="4"/>
  <c r="G86" i="4"/>
  <c r="AC82" i="4"/>
  <c r="R82" i="4"/>
  <c r="AD82" i="4"/>
  <c r="S82" i="4"/>
  <c r="U82" i="4"/>
  <c r="AG82" i="4"/>
  <c r="E82" i="4"/>
  <c r="D74" i="4"/>
  <c r="E74" i="4"/>
  <c r="H97" i="4"/>
  <c r="AA10" i="4"/>
  <c r="P14" i="4"/>
  <c r="E18" i="4"/>
  <c r="I24" i="4"/>
  <c r="S37" i="4"/>
  <c r="K37" i="4"/>
  <c r="E67" i="4"/>
  <c r="L82" i="4"/>
  <c r="X82" i="4"/>
  <c r="G69" i="4"/>
  <c r="I69" i="4" s="1"/>
  <c r="I29" i="4"/>
  <c r="D38" i="4"/>
  <c r="Y14" i="4"/>
  <c r="V37" i="4"/>
  <c r="I41" i="4"/>
  <c r="G56" i="4"/>
  <c r="I56" i="4" s="1"/>
  <c r="AA67" i="4"/>
  <c r="Z82" i="4"/>
  <c r="O82" i="4"/>
  <c r="AA82" i="4"/>
  <c r="I87" i="4"/>
  <c r="I91" i="4"/>
  <c r="I98" i="4"/>
  <c r="D39" i="4"/>
  <c r="AG10" i="4"/>
  <c r="G47" i="4"/>
  <c r="I60" i="4"/>
  <c r="N82" i="4"/>
  <c r="O10" i="4"/>
  <c r="I25" i="4"/>
  <c r="D16" i="4"/>
  <c r="AE14" i="4"/>
  <c r="I21" i="4"/>
  <c r="X37" i="4"/>
  <c r="E40" i="4"/>
  <c r="E47" i="4"/>
  <c r="I71" i="4"/>
  <c r="I75" i="4"/>
  <c r="G80" i="4"/>
  <c r="I80" i="4" s="1"/>
  <c r="AG12" i="4"/>
  <c r="T37" i="4"/>
  <c r="G84" i="4"/>
  <c r="I84" i="4" s="1"/>
  <c r="U10" i="4"/>
  <c r="J35" i="4"/>
  <c r="J11" i="4" s="1"/>
  <c r="G43" i="4"/>
  <c r="I43" i="4" s="1"/>
  <c r="I53" i="4"/>
  <c r="I88" i="4"/>
  <c r="I92" i="4"/>
  <c r="I72" i="4"/>
  <c r="I27" i="4"/>
  <c r="J37" i="4"/>
  <c r="I49" i="4"/>
  <c r="G58" i="4"/>
  <c r="D77" i="4"/>
  <c r="I19" i="4"/>
  <c r="I32" i="4"/>
  <c r="N37" i="4"/>
  <c r="I73" i="4"/>
  <c r="G77" i="4"/>
  <c r="V82" i="4"/>
  <c r="M82" i="4"/>
  <c r="Y82" i="4"/>
  <c r="W82" i="4"/>
  <c r="G9" i="18"/>
  <c r="K8" i="18"/>
  <c r="D9" i="18"/>
  <c r="D8" i="18" s="1"/>
  <c r="G11" i="18"/>
  <c r="F12" i="18"/>
  <c r="F11" i="18" s="1"/>
  <c r="I11" i="11"/>
  <c r="H11" i="11"/>
  <c r="D9" i="11"/>
  <c r="I24" i="11"/>
  <c r="H24" i="11"/>
  <c r="I8" i="11"/>
  <c r="I13" i="11"/>
  <c r="H13" i="11"/>
  <c r="I13" i="15"/>
  <c r="H13" i="15"/>
  <c r="I11" i="15"/>
  <c r="H11" i="15"/>
  <c r="I8" i="7"/>
  <c r="H8" i="7"/>
  <c r="H9" i="7"/>
  <c r="H12" i="7"/>
  <c r="H14" i="7"/>
  <c r="I9" i="7"/>
  <c r="F14" i="7"/>
  <c r="H10" i="7"/>
  <c r="H13" i="7"/>
  <c r="H15" i="7"/>
  <c r="G9" i="4"/>
  <c r="G15" i="4"/>
  <c r="N12" i="4"/>
  <c r="Z12" i="4"/>
  <c r="G85" i="4"/>
  <c r="K82" i="4"/>
  <c r="I61" i="4"/>
  <c r="G96" i="4"/>
  <c r="K95" i="4"/>
  <c r="I97" i="4"/>
  <c r="D15" i="4"/>
  <c r="E15" i="4"/>
  <c r="K14" i="4"/>
  <c r="W14" i="4"/>
  <c r="I63" i="4"/>
  <c r="AB14" i="4"/>
  <c r="G16" i="4"/>
  <c r="W35" i="4"/>
  <c r="W11" i="4" s="1"/>
  <c r="I62" i="4"/>
  <c r="AC14" i="4"/>
  <c r="Q37" i="4"/>
  <c r="Q35" i="4"/>
  <c r="V14" i="4"/>
  <c r="M14" i="4"/>
  <c r="I45" i="4"/>
  <c r="I64" i="4"/>
  <c r="AC37" i="4"/>
  <c r="AC35" i="4"/>
  <c r="AC11" i="4" s="1"/>
  <c r="E17" i="4"/>
  <c r="D17" i="4"/>
  <c r="J14" i="4"/>
  <c r="G39" i="4"/>
  <c r="K36" i="4"/>
  <c r="L12" i="4"/>
  <c r="J9" i="4"/>
  <c r="X12" i="4"/>
  <c r="K67" i="4"/>
  <c r="W12" i="4"/>
  <c r="Q14" i="4"/>
  <c r="I20" i="4"/>
  <c r="K35" i="4"/>
  <c r="G38" i="4"/>
  <c r="I46" i="4"/>
  <c r="I68" i="4"/>
  <c r="F20" i="4"/>
  <c r="F24" i="4"/>
  <c r="F28" i="4"/>
  <c r="F42" i="4"/>
  <c r="F44" i="4"/>
  <c r="F48" i="4"/>
  <c r="F62" i="4"/>
  <c r="F64" i="4"/>
  <c r="F68" i="4"/>
  <c r="F72" i="4"/>
  <c r="F78" i="4"/>
  <c r="F88" i="4"/>
  <c r="F92" i="4"/>
  <c r="G30" i="4"/>
  <c r="M35" i="4"/>
  <c r="Y35" i="4"/>
  <c r="M37" i="4"/>
  <c r="G40" i="4"/>
  <c r="G50" i="4"/>
  <c r="G52" i="4"/>
  <c r="G54" i="4"/>
  <c r="G70" i="4"/>
  <c r="H20" i="4"/>
  <c r="H24" i="4"/>
  <c r="H28" i="4"/>
  <c r="H32" i="4"/>
  <c r="H42" i="4"/>
  <c r="H44" i="4"/>
  <c r="H46" i="4"/>
  <c r="H48" i="4"/>
  <c r="H60" i="4"/>
  <c r="H62" i="4"/>
  <c r="H64" i="4"/>
  <c r="H68" i="4"/>
  <c r="H72" i="4"/>
  <c r="H76" i="4"/>
  <c r="H78" i="4"/>
  <c r="H88" i="4"/>
  <c r="H92" i="4"/>
  <c r="G18" i="4"/>
  <c r="G22" i="4"/>
  <c r="G26" i="4"/>
  <c r="I78" i="4"/>
  <c r="D69" i="4"/>
  <c r="D67" i="4" s="1"/>
  <c r="J82" i="4"/>
  <c r="D83" i="4"/>
  <c r="D85" i="4"/>
  <c r="J95" i="4"/>
  <c r="D96" i="4"/>
  <c r="D95" i="4" s="1"/>
  <c r="AB35" i="4"/>
  <c r="E39" i="4"/>
  <c r="E37" i="4" s="1"/>
  <c r="P35" i="4"/>
  <c r="J36" i="4"/>
  <c r="F19" i="4"/>
  <c r="F21" i="4"/>
  <c r="F23" i="4"/>
  <c r="F25" i="4"/>
  <c r="F27" i="4"/>
  <c r="F29" i="4"/>
  <c r="R35" i="4"/>
  <c r="AD35" i="4"/>
  <c r="F41" i="4"/>
  <c r="F45" i="4"/>
  <c r="F49" i="4"/>
  <c r="F51" i="4"/>
  <c r="F53" i="4"/>
  <c r="F55" i="4"/>
  <c r="F57" i="4"/>
  <c r="F61" i="4"/>
  <c r="F63" i="4"/>
  <c r="F71" i="4"/>
  <c r="F73" i="4"/>
  <c r="F75" i="4"/>
  <c r="F79" i="4"/>
  <c r="F81" i="4"/>
  <c r="F87" i="4"/>
  <c r="F91" i="4"/>
  <c r="F93" i="4"/>
  <c r="F98" i="4"/>
  <c r="F97" i="4" s="1"/>
  <c r="F100" i="4"/>
  <c r="F99" i="4" s="1"/>
  <c r="H19" i="4"/>
  <c r="H21" i="4"/>
  <c r="H23" i="4"/>
  <c r="H25" i="4"/>
  <c r="H27" i="4"/>
  <c r="H29" i="4"/>
  <c r="H31" i="4"/>
  <c r="H33" i="4"/>
  <c r="T35" i="4"/>
  <c r="AF35" i="4"/>
  <c r="H41" i="4"/>
  <c r="H45" i="4"/>
  <c r="H49" i="4"/>
  <c r="H51" i="4"/>
  <c r="H53" i="4"/>
  <c r="H55" i="4"/>
  <c r="H57" i="4"/>
  <c r="H59" i="4"/>
  <c r="H61" i="4"/>
  <c r="H63" i="4"/>
  <c r="H71" i="4"/>
  <c r="H73" i="4"/>
  <c r="H75" i="4"/>
  <c r="H79" i="4"/>
  <c r="H81" i="4"/>
  <c r="H87" i="4"/>
  <c r="H89" i="4"/>
  <c r="H91" i="4"/>
  <c r="H93" i="4"/>
  <c r="H98" i="4"/>
  <c r="H100" i="4"/>
  <c r="K14" i="20"/>
  <c r="K10" i="20" s="1"/>
  <c r="L14" i="20"/>
  <c r="L10" i="20" s="1"/>
  <c r="M14" i="20"/>
  <c r="M10" i="20" s="1"/>
  <c r="N14" i="20"/>
  <c r="N10" i="20" s="1"/>
  <c r="O14" i="20"/>
  <c r="O10" i="20" s="1"/>
  <c r="P14" i="20"/>
  <c r="P10" i="20" s="1"/>
  <c r="Q14" i="20"/>
  <c r="Q10" i="20" s="1"/>
  <c r="R14" i="20"/>
  <c r="R10" i="20" s="1"/>
  <c r="S14" i="20"/>
  <c r="S10" i="20" s="1"/>
  <c r="T14" i="20"/>
  <c r="T10" i="20" s="1"/>
  <c r="U14" i="20"/>
  <c r="U10" i="20" s="1"/>
  <c r="V14" i="20"/>
  <c r="V10" i="20" s="1"/>
  <c r="W14" i="20"/>
  <c r="W10" i="20" s="1"/>
  <c r="X14" i="20"/>
  <c r="X10" i="20" s="1"/>
  <c r="Y14" i="20"/>
  <c r="Y10" i="20" s="1"/>
  <c r="Z14" i="20"/>
  <c r="Z10" i="20" s="1"/>
  <c r="AA14" i="20"/>
  <c r="AA10" i="20" s="1"/>
  <c r="AB14" i="20"/>
  <c r="AB10" i="20" s="1"/>
  <c r="AC14" i="20"/>
  <c r="AD14" i="20"/>
  <c r="AD10" i="20" s="1"/>
  <c r="AE14" i="20"/>
  <c r="AE10" i="20" s="1"/>
  <c r="AF14" i="20"/>
  <c r="AF10" i="20" s="1"/>
  <c r="AG14" i="20"/>
  <c r="AG10" i="20" s="1"/>
  <c r="J14" i="20"/>
  <c r="J10" i="20" s="1"/>
  <c r="K13" i="20"/>
  <c r="K9" i="20" s="1"/>
  <c r="L13" i="20"/>
  <c r="L9" i="20" s="1"/>
  <c r="L8" i="20" s="1"/>
  <c r="M13" i="20"/>
  <c r="M9" i="20" s="1"/>
  <c r="M8" i="20" s="1"/>
  <c r="N13" i="20"/>
  <c r="N9" i="20" s="1"/>
  <c r="O13" i="20"/>
  <c r="O9" i="20" s="1"/>
  <c r="O8" i="20" s="1"/>
  <c r="P13" i="20"/>
  <c r="P9" i="20" s="1"/>
  <c r="Q13" i="20"/>
  <c r="Q9" i="20" s="1"/>
  <c r="Q8" i="20" s="1"/>
  <c r="R13" i="20"/>
  <c r="R9" i="20" s="1"/>
  <c r="S13" i="20"/>
  <c r="S9" i="20" s="1"/>
  <c r="T13" i="20"/>
  <c r="T9" i="20" s="1"/>
  <c r="U13" i="20"/>
  <c r="U9" i="20" s="1"/>
  <c r="U8" i="20" s="1"/>
  <c r="V13" i="20"/>
  <c r="V9" i="20" s="1"/>
  <c r="W13" i="20"/>
  <c r="W9" i="20" s="1"/>
  <c r="X13" i="20"/>
  <c r="X9" i="20" s="1"/>
  <c r="Y13" i="20"/>
  <c r="Z13" i="20"/>
  <c r="Z9" i="20" s="1"/>
  <c r="AA13" i="20"/>
  <c r="AA9" i="20" s="1"/>
  <c r="AA8" i="20" s="1"/>
  <c r="AB13" i="20"/>
  <c r="AB9" i="20" s="1"/>
  <c r="AB8" i="20" s="1"/>
  <c r="AC13" i="20"/>
  <c r="AC9" i="20" s="1"/>
  <c r="AD13" i="20"/>
  <c r="AD9" i="20" s="1"/>
  <c r="AE13" i="20"/>
  <c r="AE9" i="20" s="1"/>
  <c r="AF13" i="20"/>
  <c r="AF9" i="20" s="1"/>
  <c r="AF8" i="20" s="1"/>
  <c r="AG13" i="20"/>
  <c r="AG9" i="20" s="1"/>
  <c r="AG8" i="20" s="1"/>
  <c r="J13" i="20"/>
  <c r="J9" i="20" s="1"/>
  <c r="J8" i="20" s="1"/>
  <c r="AD21" i="20"/>
  <c r="AB21" i="20"/>
  <c r="AA21" i="20"/>
  <c r="Z21" i="20"/>
  <c r="Y21" i="20"/>
  <c r="X21" i="20"/>
  <c r="W21" i="20"/>
  <c r="V21" i="20"/>
  <c r="U21" i="20"/>
  <c r="T21" i="20"/>
  <c r="S21" i="20"/>
  <c r="R21" i="20"/>
  <c r="Q21" i="20"/>
  <c r="P21" i="20"/>
  <c r="O21" i="20"/>
  <c r="N21" i="20"/>
  <c r="M21" i="20"/>
  <c r="L21" i="20"/>
  <c r="E21" i="20"/>
  <c r="AG21" i="20"/>
  <c r="AF21" i="20"/>
  <c r="AE21" i="20"/>
  <c r="AC21" i="20"/>
  <c r="G20" i="20"/>
  <c r="E20" i="20"/>
  <c r="D20" i="20"/>
  <c r="G19" i="20"/>
  <c r="E19" i="20"/>
  <c r="D19" i="20"/>
  <c r="AG18" i="20"/>
  <c r="AF18" i="20"/>
  <c r="AE18" i="20"/>
  <c r="AD18" i="20"/>
  <c r="AC18" i="20"/>
  <c r="AB18" i="20"/>
  <c r="AA18" i="20"/>
  <c r="Z18" i="20"/>
  <c r="Y18" i="20"/>
  <c r="X18" i="20"/>
  <c r="W18" i="20"/>
  <c r="V18" i="20"/>
  <c r="U18" i="20"/>
  <c r="T18" i="20"/>
  <c r="S18" i="20"/>
  <c r="R18" i="20"/>
  <c r="Q18" i="20"/>
  <c r="P18" i="20"/>
  <c r="O18" i="20"/>
  <c r="N18" i="20"/>
  <c r="M18" i="20"/>
  <c r="L18" i="20"/>
  <c r="K18" i="20"/>
  <c r="J18" i="20"/>
  <c r="G17" i="20"/>
  <c r="E17" i="20"/>
  <c r="D17" i="20"/>
  <c r="G16" i="20"/>
  <c r="E16" i="20"/>
  <c r="D16" i="20"/>
  <c r="AG15" i="20"/>
  <c r="AF15" i="20"/>
  <c r="AE15" i="20"/>
  <c r="AD15" i="20"/>
  <c r="AC15" i="20"/>
  <c r="AB15" i="20"/>
  <c r="AA15" i="20"/>
  <c r="Z15" i="20"/>
  <c r="Y15" i="20"/>
  <c r="X15" i="20"/>
  <c r="W15" i="20"/>
  <c r="V15" i="20"/>
  <c r="U15" i="20"/>
  <c r="T15" i="20"/>
  <c r="S15" i="20"/>
  <c r="R15" i="20"/>
  <c r="Q15" i="20"/>
  <c r="P15" i="20"/>
  <c r="O15" i="20"/>
  <c r="N15" i="20"/>
  <c r="M15" i="20"/>
  <c r="L15" i="20"/>
  <c r="K15" i="20"/>
  <c r="J15" i="20"/>
  <c r="E10" i="20" l="1"/>
  <c r="F56" i="4"/>
  <c r="I9" i="18"/>
  <c r="H9" i="18"/>
  <c r="I20" i="18"/>
  <c r="H20" i="18"/>
  <c r="X11" i="4"/>
  <c r="X8" i="4" s="1"/>
  <c r="N11" i="4"/>
  <c r="N8" i="4" s="1"/>
  <c r="F80" i="4"/>
  <c r="AC8" i="4"/>
  <c r="S34" i="4"/>
  <c r="AE34" i="4"/>
  <c r="H99" i="4"/>
  <c r="I77" i="4"/>
  <c r="AD8" i="20"/>
  <c r="T8" i="20"/>
  <c r="N8" i="20"/>
  <c r="U34" i="4"/>
  <c r="AG34" i="4"/>
  <c r="I58" i="4"/>
  <c r="D37" i="4"/>
  <c r="V11" i="4"/>
  <c r="V8" i="4" s="1"/>
  <c r="AA11" i="4"/>
  <c r="AA8" i="4" s="1"/>
  <c r="L11" i="4"/>
  <c r="L8" i="4" s="1"/>
  <c r="S8" i="4"/>
  <c r="AJ8" i="6"/>
  <c r="F9" i="15"/>
  <c r="F8" i="15" s="1"/>
  <c r="F11" i="15"/>
  <c r="I9" i="15"/>
  <c r="G8" i="15"/>
  <c r="H47" i="4"/>
  <c r="K8" i="20"/>
  <c r="H8" i="6"/>
  <c r="Z34" i="4"/>
  <c r="D10" i="4"/>
  <c r="H80" i="4"/>
  <c r="X8" i="20"/>
  <c r="H56" i="4"/>
  <c r="H86" i="4"/>
  <c r="H90" i="4"/>
  <c r="AE8" i="20"/>
  <c r="AG8" i="4"/>
  <c r="S8" i="20"/>
  <c r="F43" i="4"/>
  <c r="H43" i="4"/>
  <c r="O8" i="4"/>
  <c r="P8" i="20"/>
  <c r="Y12" i="20"/>
  <c r="I90" i="4"/>
  <c r="F83" i="4"/>
  <c r="H83" i="4"/>
  <c r="I74" i="4"/>
  <c r="H74" i="4"/>
  <c r="D14" i="4"/>
  <c r="E14" i="4"/>
  <c r="F84" i="4"/>
  <c r="H84" i="4"/>
  <c r="I17" i="4"/>
  <c r="F69" i="4"/>
  <c r="F67" i="4" s="1"/>
  <c r="G67" i="4"/>
  <c r="I67" i="4" s="1"/>
  <c r="O34" i="4"/>
  <c r="F77" i="4"/>
  <c r="H77" i="4"/>
  <c r="W34" i="4"/>
  <c r="U8" i="4"/>
  <c r="I86" i="4"/>
  <c r="W8" i="20"/>
  <c r="H17" i="4"/>
  <c r="E35" i="4"/>
  <c r="AC34" i="4"/>
  <c r="H58" i="4"/>
  <c r="G10" i="4"/>
  <c r="D82" i="4"/>
  <c r="I47" i="4"/>
  <c r="F47" i="4"/>
  <c r="F58" i="4"/>
  <c r="Z8" i="4"/>
  <c r="I11" i="18"/>
  <c r="H11" i="18"/>
  <c r="G8" i="18"/>
  <c r="F9" i="18"/>
  <c r="F8" i="18" s="1"/>
  <c r="D8" i="11"/>
  <c r="H8" i="11" s="1"/>
  <c r="H9" i="11"/>
  <c r="F10" i="7"/>
  <c r="F8" i="7"/>
  <c r="I38" i="4"/>
  <c r="H38" i="4"/>
  <c r="F38" i="4"/>
  <c r="I50" i="4"/>
  <c r="H50" i="4"/>
  <c r="F50" i="4"/>
  <c r="F18" i="4"/>
  <c r="E9" i="4"/>
  <c r="D9" i="4"/>
  <c r="K34" i="4"/>
  <c r="G36" i="4"/>
  <c r="K12" i="4"/>
  <c r="I40" i="4"/>
  <c r="H40" i="4"/>
  <c r="I16" i="4"/>
  <c r="H16" i="4"/>
  <c r="F16" i="4"/>
  <c r="G14" i="4"/>
  <c r="G35" i="4"/>
  <c r="E11" i="4"/>
  <c r="I85" i="4"/>
  <c r="H85" i="4"/>
  <c r="F85" i="4"/>
  <c r="I30" i="4"/>
  <c r="H30" i="4"/>
  <c r="Q34" i="4"/>
  <c r="Q11" i="4"/>
  <c r="Q8" i="4" s="1"/>
  <c r="F9" i="4"/>
  <c r="F90" i="4"/>
  <c r="F86" i="4"/>
  <c r="W8" i="4"/>
  <c r="Y34" i="4"/>
  <c r="Y11" i="4"/>
  <c r="Y8" i="4" s="1"/>
  <c r="AD34" i="4"/>
  <c r="AD11" i="4"/>
  <c r="AD8" i="4" s="1"/>
  <c r="P11" i="4"/>
  <c r="P8" i="4" s="1"/>
  <c r="P34" i="4"/>
  <c r="I18" i="4"/>
  <c r="H18" i="4"/>
  <c r="F40" i="4"/>
  <c r="K11" i="4"/>
  <c r="I96" i="4"/>
  <c r="H96" i="4"/>
  <c r="F96" i="4"/>
  <c r="F95" i="4" s="1"/>
  <c r="G95" i="4"/>
  <c r="I15" i="4"/>
  <c r="H15" i="4"/>
  <c r="F15" i="4"/>
  <c r="J34" i="4"/>
  <c r="J12" i="4"/>
  <c r="J8" i="4" s="1"/>
  <c r="E36" i="4"/>
  <c r="D36" i="4"/>
  <c r="AF34" i="4"/>
  <c r="AF11" i="4"/>
  <c r="AF8" i="4" s="1"/>
  <c r="I70" i="4"/>
  <c r="H70" i="4"/>
  <c r="F70" i="4"/>
  <c r="F30" i="4"/>
  <c r="M34" i="4"/>
  <c r="M11" i="4"/>
  <c r="M8" i="4" s="1"/>
  <c r="R34" i="4"/>
  <c r="R11" i="4"/>
  <c r="R8" i="4" s="1"/>
  <c r="T34" i="4"/>
  <c r="T11" i="4"/>
  <c r="T8" i="4" s="1"/>
  <c r="AB11" i="4"/>
  <c r="AB8" i="4" s="1"/>
  <c r="AB34" i="4"/>
  <c r="I54" i="4"/>
  <c r="H54" i="4"/>
  <c r="F54" i="4"/>
  <c r="F74" i="4"/>
  <c r="F26" i="4"/>
  <c r="I39" i="4"/>
  <c r="H39" i="4"/>
  <c r="G37" i="4"/>
  <c r="F39" i="4"/>
  <c r="I26" i="4"/>
  <c r="H26" i="4"/>
  <c r="I22" i="4"/>
  <c r="H22" i="4"/>
  <c r="I52" i="4"/>
  <c r="H52" i="4"/>
  <c r="F52" i="4"/>
  <c r="F22" i="4"/>
  <c r="D35" i="4"/>
  <c r="G82" i="4"/>
  <c r="H69" i="4"/>
  <c r="AC12" i="20"/>
  <c r="V8" i="20"/>
  <c r="Z8" i="20"/>
  <c r="R8" i="20"/>
  <c r="AC10" i="20"/>
  <c r="AC8" i="20" s="1"/>
  <c r="Y9" i="20"/>
  <c r="Y8" i="20" s="1"/>
  <c r="D14" i="20"/>
  <c r="I20" i="20"/>
  <c r="AF12" i="20"/>
  <c r="T12" i="20"/>
  <c r="AD12" i="20"/>
  <c r="AE12" i="20"/>
  <c r="R12" i="20"/>
  <c r="D18" i="20"/>
  <c r="E18" i="20"/>
  <c r="S12" i="20"/>
  <c r="E14" i="20"/>
  <c r="E15" i="20"/>
  <c r="G15" i="20"/>
  <c r="N12" i="20"/>
  <c r="Z12" i="20"/>
  <c r="E9" i="20"/>
  <c r="Q12" i="20"/>
  <c r="O12" i="20"/>
  <c r="AA12" i="20"/>
  <c r="U12" i="20"/>
  <c r="I17" i="20"/>
  <c r="G18" i="20"/>
  <c r="F21" i="20"/>
  <c r="AG12" i="20"/>
  <c r="V12" i="20"/>
  <c r="I19" i="20"/>
  <c r="W12" i="20"/>
  <c r="G13" i="20"/>
  <c r="L12" i="20"/>
  <c r="X12" i="20"/>
  <c r="D15" i="20"/>
  <c r="F16" i="20"/>
  <c r="F20" i="20"/>
  <c r="G14" i="20"/>
  <c r="H20" i="20"/>
  <c r="H16" i="20"/>
  <c r="I16" i="20"/>
  <c r="AB12" i="20"/>
  <c r="D13" i="20"/>
  <c r="J21" i="20"/>
  <c r="D22" i="20"/>
  <c r="J12" i="20"/>
  <c r="K12" i="20"/>
  <c r="E13" i="20"/>
  <c r="K21" i="20"/>
  <c r="P12" i="20"/>
  <c r="F17" i="20"/>
  <c r="F19" i="20"/>
  <c r="M12" i="20"/>
  <c r="H17" i="20"/>
  <c r="H19" i="20"/>
  <c r="K24" i="14"/>
  <c r="K10" i="14" s="1"/>
  <c r="L24" i="14"/>
  <c r="L10" i="14" s="1"/>
  <c r="M24" i="14"/>
  <c r="M10" i="14" s="1"/>
  <c r="N24" i="14"/>
  <c r="N10" i="14" s="1"/>
  <c r="O24" i="14"/>
  <c r="O10" i="14" s="1"/>
  <c r="P24" i="14"/>
  <c r="P10" i="14" s="1"/>
  <c r="Q24" i="14"/>
  <c r="R24" i="14"/>
  <c r="S24" i="14"/>
  <c r="T24" i="14"/>
  <c r="T10" i="14" s="1"/>
  <c r="U24" i="14"/>
  <c r="U10" i="14" s="1"/>
  <c r="V24" i="14"/>
  <c r="V10" i="14" s="1"/>
  <c r="W24" i="14"/>
  <c r="W10" i="14" s="1"/>
  <c r="X24" i="14"/>
  <c r="X10" i="14" s="1"/>
  <c r="Y24" i="14"/>
  <c r="Z24" i="14"/>
  <c r="Z10" i="14" s="1"/>
  <c r="AA24" i="14"/>
  <c r="AB24" i="14"/>
  <c r="AC24" i="14"/>
  <c r="AC10" i="14" s="1"/>
  <c r="AD24" i="14"/>
  <c r="AE24" i="14"/>
  <c r="AF24" i="14"/>
  <c r="AG24" i="14"/>
  <c r="J24" i="14"/>
  <c r="J10" i="14" s="1"/>
  <c r="K25" i="14"/>
  <c r="K11" i="14" s="1"/>
  <c r="L25" i="14"/>
  <c r="L11" i="14" s="1"/>
  <c r="M25" i="14"/>
  <c r="M11" i="14" s="1"/>
  <c r="N25" i="14"/>
  <c r="N11" i="14" s="1"/>
  <c r="O25" i="14"/>
  <c r="P25" i="14"/>
  <c r="P11" i="14" s="1"/>
  <c r="Q25" i="14"/>
  <c r="Q11" i="14" s="1"/>
  <c r="R25" i="14"/>
  <c r="R11" i="14" s="1"/>
  <c r="S25" i="14"/>
  <c r="S11" i="14" s="1"/>
  <c r="T25" i="14"/>
  <c r="T11" i="14" s="1"/>
  <c r="U25" i="14"/>
  <c r="U11" i="14" s="1"/>
  <c r="V25" i="14"/>
  <c r="V11" i="14" s="1"/>
  <c r="W25" i="14"/>
  <c r="W11" i="14" s="1"/>
  <c r="X25" i="14"/>
  <c r="X11" i="14" s="1"/>
  <c r="Y25" i="14"/>
  <c r="Y11" i="14" s="1"/>
  <c r="Z25" i="14"/>
  <c r="Z11" i="14" s="1"/>
  <c r="AA25" i="14"/>
  <c r="AA11" i="14" s="1"/>
  <c r="AB25" i="14"/>
  <c r="AB11" i="14" s="1"/>
  <c r="AC25" i="14"/>
  <c r="AC11" i="14" s="1"/>
  <c r="AD25" i="14"/>
  <c r="AD11" i="14" s="1"/>
  <c r="AE25" i="14"/>
  <c r="AE11" i="14" s="1"/>
  <c r="AF25" i="14"/>
  <c r="AF11" i="14" s="1"/>
  <c r="AG25" i="14"/>
  <c r="AG11" i="14" s="1"/>
  <c r="J25" i="14"/>
  <c r="J11" i="14" s="1"/>
  <c r="K23" i="14"/>
  <c r="K22" i="14" s="1"/>
  <c r="L23" i="14"/>
  <c r="L22" i="14" s="1"/>
  <c r="M23" i="14"/>
  <c r="N23" i="14"/>
  <c r="O23" i="14"/>
  <c r="P23" i="14"/>
  <c r="P22" i="14" s="1"/>
  <c r="Q23" i="14"/>
  <c r="Q9" i="14" s="1"/>
  <c r="R23" i="14"/>
  <c r="R9" i="14" s="1"/>
  <c r="S23" i="14"/>
  <c r="S9" i="14" s="1"/>
  <c r="T23" i="14"/>
  <c r="T9" i="14" s="1"/>
  <c r="U23" i="14"/>
  <c r="U9" i="14" s="1"/>
  <c r="V23" i="14"/>
  <c r="V9" i="14" s="1"/>
  <c r="W23" i="14"/>
  <c r="W9" i="14" s="1"/>
  <c r="X23" i="14"/>
  <c r="X9" i="14" s="1"/>
  <c r="Y23" i="14"/>
  <c r="Y9" i="14" s="1"/>
  <c r="Z23" i="14"/>
  <c r="Z9" i="14" s="1"/>
  <c r="AA23" i="14"/>
  <c r="AA9" i="14" s="1"/>
  <c r="AB23" i="14"/>
  <c r="AB9" i="14" s="1"/>
  <c r="AC23" i="14"/>
  <c r="AC9" i="14" s="1"/>
  <c r="AD23" i="14"/>
  <c r="AD9" i="14" s="1"/>
  <c r="AE23" i="14"/>
  <c r="AE9" i="14" s="1"/>
  <c r="AF23" i="14"/>
  <c r="AF9" i="14" s="1"/>
  <c r="AG23" i="14"/>
  <c r="AG9" i="14" s="1"/>
  <c r="J23" i="14"/>
  <c r="J9" i="14" s="1"/>
  <c r="G44" i="14"/>
  <c r="G40" i="14"/>
  <c r="F40" i="14" s="1"/>
  <c r="E40" i="14"/>
  <c r="D40" i="14"/>
  <c r="G39" i="14"/>
  <c r="E39" i="14"/>
  <c r="D39" i="14"/>
  <c r="AG38" i="14"/>
  <c r="AF38" i="14"/>
  <c r="AE38" i="14"/>
  <c r="AD38" i="14"/>
  <c r="AC38" i="14"/>
  <c r="AB38" i="14"/>
  <c r="AA38" i="14"/>
  <c r="Z38" i="14"/>
  <c r="Y38" i="14"/>
  <c r="X38" i="14"/>
  <c r="W38" i="14"/>
  <c r="V38" i="14"/>
  <c r="U38" i="14"/>
  <c r="T38" i="14"/>
  <c r="S38" i="14"/>
  <c r="R38" i="14"/>
  <c r="Q38" i="14"/>
  <c r="P38" i="14"/>
  <c r="O38" i="14"/>
  <c r="N38" i="14"/>
  <c r="M38" i="14"/>
  <c r="L38" i="14"/>
  <c r="K38" i="14"/>
  <c r="J38" i="14"/>
  <c r="G37" i="14"/>
  <c r="F37" i="14" s="1"/>
  <c r="E37" i="14"/>
  <c r="D37" i="14"/>
  <c r="G36" i="14"/>
  <c r="E36" i="14"/>
  <c r="D36" i="14"/>
  <c r="AG35" i="14"/>
  <c r="AF35" i="14"/>
  <c r="AE35" i="14"/>
  <c r="AD35" i="14"/>
  <c r="AC35" i="14"/>
  <c r="AB35" i="14"/>
  <c r="AA35" i="14"/>
  <c r="Z35" i="14"/>
  <c r="Y35" i="14"/>
  <c r="X35" i="14"/>
  <c r="W35" i="14"/>
  <c r="V35" i="14"/>
  <c r="U35" i="14"/>
  <c r="T35" i="14"/>
  <c r="S35" i="14"/>
  <c r="R35" i="14"/>
  <c r="Q35" i="14"/>
  <c r="P35" i="14"/>
  <c r="O35" i="14"/>
  <c r="N35" i="14"/>
  <c r="M35" i="14"/>
  <c r="L35" i="14"/>
  <c r="K35" i="14"/>
  <c r="J35" i="14"/>
  <c r="D28" i="14"/>
  <c r="F37" i="4" l="1"/>
  <c r="I8" i="18"/>
  <c r="H8" i="18"/>
  <c r="D11" i="4"/>
  <c r="D21" i="20"/>
  <c r="H22" i="20"/>
  <c r="I8" i="15"/>
  <c r="H8" i="15"/>
  <c r="F82" i="4"/>
  <c r="E34" i="4"/>
  <c r="E8" i="20"/>
  <c r="R22" i="14"/>
  <c r="Q22" i="14"/>
  <c r="R10" i="14"/>
  <c r="Q10" i="14"/>
  <c r="AA22" i="14"/>
  <c r="Y22" i="14"/>
  <c r="H67" i="4"/>
  <c r="I15" i="20"/>
  <c r="E25" i="14"/>
  <c r="W22" i="14"/>
  <c r="X22" i="14"/>
  <c r="AE22" i="14"/>
  <c r="S22" i="14"/>
  <c r="O22" i="14"/>
  <c r="G25" i="14"/>
  <c r="F25" i="14" s="1"/>
  <c r="AD22" i="14"/>
  <c r="N22" i="14"/>
  <c r="AC22" i="14"/>
  <c r="M22" i="14"/>
  <c r="AB22" i="14"/>
  <c r="AD10" i="14"/>
  <c r="I10" i="4"/>
  <c r="H10" i="4"/>
  <c r="F10" i="4"/>
  <c r="G11" i="4"/>
  <c r="I11" i="4" s="1"/>
  <c r="I36" i="4"/>
  <c r="H36" i="4"/>
  <c r="G34" i="4"/>
  <c r="F36" i="4"/>
  <c r="D34" i="4"/>
  <c r="I35" i="4"/>
  <c r="H35" i="4"/>
  <c r="F35" i="4"/>
  <c r="E12" i="4"/>
  <c r="E8" i="4" s="1"/>
  <c r="D12" i="4"/>
  <c r="H9" i="4"/>
  <c r="I14" i="4"/>
  <c r="H14" i="4"/>
  <c r="I82" i="4"/>
  <c r="H82" i="4"/>
  <c r="I9" i="4"/>
  <c r="F14" i="4"/>
  <c r="I37" i="4"/>
  <c r="H37" i="4"/>
  <c r="I95" i="4"/>
  <c r="H95" i="4"/>
  <c r="G12" i="4"/>
  <c r="K8" i="4"/>
  <c r="AB10" i="14"/>
  <c r="P9" i="14"/>
  <c r="D25" i="14"/>
  <c r="AA10" i="14"/>
  <c r="O9" i="14"/>
  <c r="O11" i="14"/>
  <c r="N9" i="14"/>
  <c r="Z22" i="14"/>
  <c r="Y10" i="14"/>
  <c r="M9" i="14"/>
  <c r="J22" i="14"/>
  <c r="L9" i="14"/>
  <c r="K9" i="14"/>
  <c r="G38" i="14"/>
  <c r="V22" i="14"/>
  <c r="AG22" i="14"/>
  <c r="U22" i="14"/>
  <c r="AG10" i="14"/>
  <c r="AF22" i="14"/>
  <c r="T22" i="14"/>
  <c r="AE10" i="14"/>
  <c r="S10" i="14"/>
  <c r="I13" i="20"/>
  <c r="I18" i="20"/>
  <c r="E12" i="20"/>
  <c r="H18" i="20"/>
  <c r="H15" i="20"/>
  <c r="D9" i="20"/>
  <c r="H13" i="20"/>
  <c r="F13" i="20"/>
  <c r="D10" i="20"/>
  <c r="G21" i="20"/>
  <c r="I22" i="20"/>
  <c r="G10" i="20"/>
  <c r="D12" i="20"/>
  <c r="G9" i="20"/>
  <c r="F15" i="20"/>
  <c r="G12" i="20"/>
  <c r="I14" i="20"/>
  <c r="H14" i="20"/>
  <c r="F14" i="20"/>
  <c r="F18" i="20"/>
  <c r="AF10" i="14"/>
  <c r="G35" i="14"/>
  <c r="D35" i="14"/>
  <c r="E38" i="14"/>
  <c r="I37" i="14"/>
  <c r="D38" i="14"/>
  <c r="E35" i="14"/>
  <c r="I40" i="14"/>
  <c r="I39" i="14"/>
  <c r="F39" i="14"/>
  <c r="F38" i="14" s="1"/>
  <c r="H39" i="14"/>
  <c r="H40" i="14"/>
  <c r="F36" i="14"/>
  <c r="F35" i="14" s="1"/>
  <c r="I36" i="14"/>
  <c r="H36" i="14"/>
  <c r="H37" i="14"/>
  <c r="G21" i="14"/>
  <c r="E21" i="14"/>
  <c r="D21" i="14"/>
  <c r="G20" i="14"/>
  <c r="E20" i="14"/>
  <c r="D20" i="14"/>
  <c r="G19" i="14"/>
  <c r="E19" i="14"/>
  <c r="D19" i="14"/>
  <c r="AG18" i="14"/>
  <c r="AF18" i="14"/>
  <c r="AE18" i="14"/>
  <c r="AD18" i="14"/>
  <c r="AC18" i="14"/>
  <c r="AB18" i="14"/>
  <c r="AA18" i="14"/>
  <c r="Z18" i="14"/>
  <c r="Y18" i="14"/>
  <c r="X18" i="14"/>
  <c r="W18" i="14"/>
  <c r="V18" i="14"/>
  <c r="U18" i="14"/>
  <c r="T18" i="14"/>
  <c r="S18" i="14"/>
  <c r="R18" i="14"/>
  <c r="Q18" i="14"/>
  <c r="P18" i="14"/>
  <c r="O18" i="14"/>
  <c r="N18" i="14"/>
  <c r="M18" i="14"/>
  <c r="L18" i="14"/>
  <c r="K18" i="14"/>
  <c r="J18" i="14"/>
  <c r="E44" i="14"/>
  <c r="AE42" i="14"/>
  <c r="AC42" i="14"/>
  <c r="AB42" i="14"/>
  <c r="Z42" i="14"/>
  <c r="X42" i="14"/>
  <c r="U42" i="14"/>
  <c r="S42" i="14"/>
  <c r="R42" i="14"/>
  <c r="Q42" i="14"/>
  <c r="P42" i="14"/>
  <c r="O42" i="14"/>
  <c r="N42" i="14"/>
  <c r="M42" i="14"/>
  <c r="L42" i="14"/>
  <c r="E43" i="14"/>
  <c r="G43" i="14"/>
  <c r="AG42" i="14"/>
  <c r="AF42" i="14"/>
  <c r="AD42" i="14"/>
  <c r="Y42" i="14"/>
  <c r="W42" i="14"/>
  <c r="V42" i="14"/>
  <c r="T42" i="14"/>
  <c r="K42" i="14"/>
  <c r="G34" i="14"/>
  <c r="E34" i="14"/>
  <c r="D34" i="14"/>
  <c r="G33" i="14"/>
  <c r="E33" i="14"/>
  <c r="D33" i="14"/>
  <c r="AG32" i="14"/>
  <c r="AF32" i="14"/>
  <c r="AE32" i="14"/>
  <c r="AD32" i="14"/>
  <c r="AC32" i="14"/>
  <c r="AB32" i="14"/>
  <c r="AA32" i="14"/>
  <c r="Z32" i="14"/>
  <c r="Y32" i="14"/>
  <c r="X32" i="14"/>
  <c r="W32" i="14"/>
  <c r="V32" i="14"/>
  <c r="U32" i="14"/>
  <c r="T32" i="14"/>
  <c r="S32" i="14"/>
  <c r="R32" i="14"/>
  <c r="Q32" i="14"/>
  <c r="P32" i="14"/>
  <c r="O32" i="14"/>
  <c r="N32" i="14"/>
  <c r="M32" i="14"/>
  <c r="L32" i="14"/>
  <c r="K32" i="14"/>
  <c r="J32" i="14"/>
  <c r="G31" i="14"/>
  <c r="E31" i="14"/>
  <c r="D31" i="14"/>
  <c r="G30" i="14"/>
  <c r="E30" i="14"/>
  <c r="D30" i="14"/>
  <c r="AG29" i="14"/>
  <c r="AF29" i="14"/>
  <c r="AE29" i="14"/>
  <c r="AD29" i="14"/>
  <c r="AC29" i="14"/>
  <c r="AB29" i="14"/>
  <c r="AA29" i="14"/>
  <c r="Z29" i="14"/>
  <c r="Y29" i="14"/>
  <c r="X29" i="14"/>
  <c r="W29" i="14"/>
  <c r="V29" i="14"/>
  <c r="U29" i="14"/>
  <c r="T29" i="14"/>
  <c r="S29" i="14"/>
  <c r="R29" i="14"/>
  <c r="Q29" i="14"/>
  <c r="P29" i="14"/>
  <c r="O29" i="14"/>
  <c r="N29" i="14"/>
  <c r="M29" i="14"/>
  <c r="L29" i="14"/>
  <c r="K29" i="14"/>
  <c r="J29" i="14"/>
  <c r="G28" i="14"/>
  <c r="E28" i="14"/>
  <c r="G27" i="14"/>
  <c r="F27" i="14" s="1"/>
  <c r="E27" i="14"/>
  <c r="D27" i="14"/>
  <c r="D26" i="14" s="1"/>
  <c r="AG26" i="14"/>
  <c r="AF26" i="14"/>
  <c r="AE26" i="14"/>
  <c r="AD26" i="14"/>
  <c r="AC26" i="14"/>
  <c r="AB26" i="14"/>
  <c r="AA26" i="14"/>
  <c r="Z26" i="14"/>
  <c r="Y26" i="14"/>
  <c r="X26" i="14"/>
  <c r="W26" i="14"/>
  <c r="V26" i="14"/>
  <c r="U26" i="14"/>
  <c r="T26" i="14"/>
  <c r="S26" i="14"/>
  <c r="R26" i="14"/>
  <c r="Q26" i="14"/>
  <c r="P26" i="14"/>
  <c r="O26" i="14"/>
  <c r="N26" i="14"/>
  <c r="M26" i="14"/>
  <c r="L26" i="14"/>
  <c r="K26" i="14"/>
  <c r="J26" i="14"/>
  <c r="E24" i="14"/>
  <c r="E23" i="14"/>
  <c r="G16" i="14"/>
  <c r="E16" i="14"/>
  <c r="D16" i="14"/>
  <c r="G15" i="14"/>
  <c r="F15" i="14" s="1"/>
  <c r="E15" i="14"/>
  <c r="D15" i="14"/>
  <c r="G14" i="14"/>
  <c r="E14" i="14"/>
  <c r="D14" i="14"/>
  <c r="AG13" i="14"/>
  <c r="AF13" i="14"/>
  <c r="AE13" i="14"/>
  <c r="AD13" i="14"/>
  <c r="AC13" i="14"/>
  <c r="AB13" i="14"/>
  <c r="AA13" i="14"/>
  <c r="Z13" i="14"/>
  <c r="Y13" i="14"/>
  <c r="X13" i="14"/>
  <c r="W13" i="14"/>
  <c r="V13" i="14"/>
  <c r="U13" i="14"/>
  <c r="T13" i="14"/>
  <c r="S13" i="14"/>
  <c r="R13" i="14"/>
  <c r="Q13" i="14"/>
  <c r="P13" i="14"/>
  <c r="O13" i="14"/>
  <c r="N13" i="14"/>
  <c r="M13" i="14"/>
  <c r="L13" i="14"/>
  <c r="K13" i="14"/>
  <c r="J13" i="14"/>
  <c r="E9" i="14"/>
  <c r="K11" i="9"/>
  <c r="L11" i="9"/>
  <c r="M11" i="9"/>
  <c r="N11" i="9"/>
  <c r="O11" i="9"/>
  <c r="P11" i="9"/>
  <c r="Q11" i="9"/>
  <c r="R11" i="9"/>
  <c r="S11" i="9"/>
  <c r="T11" i="9"/>
  <c r="U11" i="9"/>
  <c r="V11" i="9"/>
  <c r="W11" i="9"/>
  <c r="X11" i="9"/>
  <c r="Y11" i="9"/>
  <c r="Z11" i="9"/>
  <c r="AA11" i="9"/>
  <c r="AB11" i="9"/>
  <c r="AC11" i="9"/>
  <c r="AD11" i="9"/>
  <c r="AE11" i="9"/>
  <c r="AF11" i="9"/>
  <c r="AG11" i="9"/>
  <c r="J11" i="9"/>
  <c r="E11" i="9" s="1"/>
  <c r="K10" i="9"/>
  <c r="L10" i="9"/>
  <c r="M10" i="9"/>
  <c r="N10" i="9"/>
  <c r="O10" i="9"/>
  <c r="P10" i="9"/>
  <c r="Q10" i="9"/>
  <c r="R10" i="9"/>
  <c r="S10" i="9"/>
  <c r="T10" i="9"/>
  <c r="U10" i="9"/>
  <c r="V10" i="9"/>
  <c r="W10" i="9"/>
  <c r="X10" i="9"/>
  <c r="Y10" i="9"/>
  <c r="Z10" i="9"/>
  <c r="AA10" i="9"/>
  <c r="AB10" i="9"/>
  <c r="AC10" i="9"/>
  <c r="AD10" i="9"/>
  <c r="AE10" i="9"/>
  <c r="AF10" i="9"/>
  <c r="AG10" i="9"/>
  <c r="J10" i="9"/>
  <c r="K9" i="9"/>
  <c r="L9" i="9"/>
  <c r="M9" i="9"/>
  <c r="N9" i="9"/>
  <c r="O9" i="9"/>
  <c r="P9" i="9"/>
  <c r="Q9" i="9"/>
  <c r="R9" i="9"/>
  <c r="S9" i="9"/>
  <c r="T9" i="9"/>
  <c r="U9" i="9"/>
  <c r="V9" i="9"/>
  <c r="W9" i="9"/>
  <c r="X9" i="9"/>
  <c r="Y9" i="9"/>
  <c r="Z9" i="9"/>
  <c r="AA9" i="9"/>
  <c r="AB9" i="9"/>
  <c r="AC9" i="9"/>
  <c r="AD9" i="9"/>
  <c r="AE9" i="9"/>
  <c r="AF9" i="9"/>
  <c r="AG9" i="9"/>
  <c r="J9" i="9"/>
  <c r="G30" i="9"/>
  <c r="E30" i="9"/>
  <c r="D30" i="9"/>
  <c r="G29" i="9"/>
  <c r="F29" i="9" s="1"/>
  <c r="E29" i="9"/>
  <c r="D29" i="9"/>
  <c r="G28" i="9"/>
  <c r="E28" i="9"/>
  <c r="D28" i="9"/>
  <c r="AG27" i="9"/>
  <c r="AF27" i="9"/>
  <c r="AE27" i="9"/>
  <c r="AD27" i="9"/>
  <c r="AC27" i="9"/>
  <c r="AB27" i="9"/>
  <c r="AA27" i="9"/>
  <c r="Z27" i="9"/>
  <c r="Y27" i="9"/>
  <c r="X27" i="9"/>
  <c r="W27" i="9"/>
  <c r="V27" i="9"/>
  <c r="U27" i="9"/>
  <c r="T27" i="9"/>
  <c r="S27" i="9"/>
  <c r="R27" i="9"/>
  <c r="Q27" i="9"/>
  <c r="P27" i="9"/>
  <c r="O27" i="9"/>
  <c r="N27" i="9"/>
  <c r="M27" i="9"/>
  <c r="L27" i="9"/>
  <c r="K27" i="9"/>
  <c r="J27" i="9"/>
  <c r="G22" i="9"/>
  <c r="E25" i="9"/>
  <c r="E24" i="9" s="1"/>
  <c r="AE24" i="9"/>
  <c r="AD24" i="9"/>
  <c r="AC24" i="9"/>
  <c r="AB24" i="9"/>
  <c r="AA24" i="9"/>
  <c r="Z24" i="9"/>
  <c r="Y24" i="9"/>
  <c r="X24" i="9"/>
  <c r="W24" i="9"/>
  <c r="V24" i="9"/>
  <c r="U24" i="9"/>
  <c r="T24" i="9"/>
  <c r="S24" i="9"/>
  <c r="R24" i="9"/>
  <c r="Q24" i="9"/>
  <c r="P24" i="9"/>
  <c r="O24" i="9"/>
  <c r="N24" i="9"/>
  <c r="M24" i="9"/>
  <c r="L24" i="9"/>
  <c r="K24" i="9"/>
  <c r="J24" i="9"/>
  <c r="AA21" i="9"/>
  <c r="Z21" i="9"/>
  <c r="W21" i="9"/>
  <c r="V21" i="9"/>
  <c r="O21" i="9"/>
  <c r="N21" i="9"/>
  <c r="E22" i="9"/>
  <c r="AF21" i="9"/>
  <c r="AE21" i="9"/>
  <c r="AD21" i="9"/>
  <c r="AC21" i="9"/>
  <c r="AB21" i="9"/>
  <c r="Y21" i="9"/>
  <c r="X21" i="9"/>
  <c r="U21" i="9"/>
  <c r="T21" i="9"/>
  <c r="S21" i="9"/>
  <c r="R21" i="9"/>
  <c r="Q21" i="9"/>
  <c r="P21" i="9"/>
  <c r="M21" i="9"/>
  <c r="L21" i="9"/>
  <c r="G20" i="9"/>
  <c r="E20" i="9"/>
  <c r="D20" i="9"/>
  <c r="G19" i="9"/>
  <c r="F19" i="9" s="1"/>
  <c r="E19" i="9"/>
  <c r="D19" i="9"/>
  <c r="G18" i="9"/>
  <c r="E18" i="9"/>
  <c r="D18" i="9"/>
  <c r="AG17" i="9"/>
  <c r="AF17" i="9"/>
  <c r="AE17" i="9"/>
  <c r="AD17" i="9"/>
  <c r="AC17" i="9"/>
  <c r="AB17" i="9"/>
  <c r="AA17" i="9"/>
  <c r="Z17" i="9"/>
  <c r="Y17" i="9"/>
  <c r="X17" i="9"/>
  <c r="W17" i="9"/>
  <c r="V17" i="9"/>
  <c r="U17" i="9"/>
  <c r="T17" i="9"/>
  <c r="S17" i="9"/>
  <c r="R17" i="9"/>
  <c r="Q17" i="9"/>
  <c r="P17" i="9"/>
  <c r="O17" i="9"/>
  <c r="N17" i="9"/>
  <c r="M17" i="9"/>
  <c r="L17" i="9"/>
  <c r="K17" i="9"/>
  <c r="J17" i="9"/>
  <c r="G15" i="9"/>
  <c r="H15" i="9" s="1"/>
  <c r="G14" i="9"/>
  <c r="E14" i="9"/>
  <c r="D14" i="9"/>
  <c r="AG13" i="9"/>
  <c r="AF13" i="9"/>
  <c r="AE13" i="9"/>
  <c r="AD13" i="9"/>
  <c r="AC13" i="9"/>
  <c r="AB13" i="9"/>
  <c r="AA13" i="9"/>
  <c r="Z13" i="9"/>
  <c r="Y13" i="9"/>
  <c r="X13" i="9"/>
  <c r="W13" i="9"/>
  <c r="V13" i="9"/>
  <c r="U13" i="9"/>
  <c r="T13" i="9"/>
  <c r="S13" i="9"/>
  <c r="R13" i="9"/>
  <c r="Q13" i="9"/>
  <c r="O13" i="9"/>
  <c r="N13" i="9"/>
  <c r="M13" i="9"/>
  <c r="L13" i="9"/>
  <c r="K13" i="9"/>
  <c r="J13" i="9"/>
  <c r="Q9" i="8"/>
  <c r="U9" i="8"/>
  <c r="Y9" i="8"/>
  <c r="AC9" i="8"/>
  <c r="AG9" i="8"/>
  <c r="G49" i="8"/>
  <c r="G48" i="8" s="1"/>
  <c r="E48" i="8"/>
  <c r="D48" i="8"/>
  <c r="AG48" i="8"/>
  <c r="AF48" i="8"/>
  <c r="AE48" i="8"/>
  <c r="AD48" i="8"/>
  <c r="AC48" i="8"/>
  <c r="AB48" i="8"/>
  <c r="AA48" i="8"/>
  <c r="Z48" i="8"/>
  <c r="Y48" i="8"/>
  <c r="X48" i="8"/>
  <c r="W48" i="8"/>
  <c r="V48" i="8"/>
  <c r="U48" i="8"/>
  <c r="T48" i="8"/>
  <c r="S48" i="8"/>
  <c r="R48" i="8"/>
  <c r="Q48" i="8"/>
  <c r="P48" i="8"/>
  <c r="O48" i="8"/>
  <c r="N48" i="8"/>
  <c r="M48" i="8"/>
  <c r="L48" i="8"/>
  <c r="K48" i="8"/>
  <c r="J48" i="8"/>
  <c r="AG47" i="8"/>
  <c r="AF47" i="8"/>
  <c r="AE47" i="8"/>
  <c r="AD47" i="8"/>
  <c r="AD46" i="8" s="1"/>
  <c r="AC47" i="8"/>
  <c r="AB47" i="8"/>
  <c r="AB46" i="8" s="1"/>
  <c r="AA47" i="8"/>
  <c r="AA46" i="8" s="1"/>
  <c r="Z47" i="8"/>
  <c r="Z46" i="8" s="1"/>
  <c r="Y47" i="8"/>
  <c r="X47" i="8"/>
  <c r="X46" i="8" s="1"/>
  <c r="W47" i="8"/>
  <c r="W46" i="8" s="1"/>
  <c r="V47" i="8"/>
  <c r="V46" i="8" s="1"/>
  <c r="U47" i="8"/>
  <c r="T47" i="8"/>
  <c r="T46" i="8" s="1"/>
  <c r="S47" i="8"/>
  <c r="R47" i="8"/>
  <c r="R46" i="8" s="1"/>
  <c r="Q47" i="8"/>
  <c r="P47" i="8"/>
  <c r="O47" i="8"/>
  <c r="O46" i="8" s="1"/>
  <c r="N47" i="8"/>
  <c r="M47" i="8"/>
  <c r="L47" i="8"/>
  <c r="L46" i="8" s="1"/>
  <c r="K47" i="8"/>
  <c r="J47" i="8"/>
  <c r="AG46" i="8"/>
  <c r="AF46" i="8"/>
  <c r="AE46" i="8"/>
  <c r="AC46" i="8"/>
  <c r="Y46" i="8"/>
  <c r="U46" i="8"/>
  <c r="S46" i="8"/>
  <c r="Q46" i="8"/>
  <c r="M46" i="8"/>
  <c r="K41" i="8"/>
  <c r="L41" i="8"/>
  <c r="M41" i="8"/>
  <c r="M40" i="8" s="1"/>
  <c r="N41" i="8"/>
  <c r="O41" i="8"/>
  <c r="P41" i="8"/>
  <c r="P40" i="8" s="1"/>
  <c r="Q41" i="8"/>
  <c r="R41" i="8"/>
  <c r="S41" i="8"/>
  <c r="T41" i="8"/>
  <c r="U41" i="8"/>
  <c r="V41" i="8"/>
  <c r="V40" i="8" s="1"/>
  <c r="W41" i="8"/>
  <c r="X41" i="8"/>
  <c r="X40" i="8" s="1"/>
  <c r="Y41" i="8"/>
  <c r="Y40" i="8" s="1"/>
  <c r="Z41" i="8"/>
  <c r="Z40" i="8" s="1"/>
  <c r="AA41" i="8"/>
  <c r="AB41" i="8"/>
  <c r="AB40" i="8" s="1"/>
  <c r="AC41" i="8"/>
  <c r="AD41" i="8"/>
  <c r="AE41" i="8"/>
  <c r="AF41" i="8"/>
  <c r="AF40" i="8" s="1"/>
  <c r="AG41" i="8"/>
  <c r="G45" i="8"/>
  <c r="G44" i="8" s="1"/>
  <c r="E44" i="8"/>
  <c r="D45" i="8"/>
  <c r="D44" i="8" s="1"/>
  <c r="AG44" i="8"/>
  <c r="AF44" i="8"/>
  <c r="AE44" i="8"/>
  <c r="AD44" i="8"/>
  <c r="AC44" i="8"/>
  <c r="AB44" i="8"/>
  <c r="AA44" i="8"/>
  <c r="Z44" i="8"/>
  <c r="Y44" i="8"/>
  <c r="X44" i="8"/>
  <c r="W44" i="8"/>
  <c r="V44" i="8"/>
  <c r="U44" i="8"/>
  <c r="T44" i="8"/>
  <c r="S44" i="8"/>
  <c r="R44" i="8"/>
  <c r="Q44" i="8"/>
  <c r="P44" i="8"/>
  <c r="O44" i="8"/>
  <c r="N44" i="8"/>
  <c r="M44" i="8"/>
  <c r="L44" i="8"/>
  <c r="K44" i="8"/>
  <c r="J44" i="8"/>
  <c r="G43" i="8"/>
  <c r="G42" i="8" s="1"/>
  <c r="E42" i="8"/>
  <c r="D43" i="8"/>
  <c r="AG42" i="8"/>
  <c r="AF42" i="8"/>
  <c r="AE42" i="8"/>
  <c r="AD42" i="8"/>
  <c r="AC42" i="8"/>
  <c r="AB42" i="8"/>
  <c r="AA42" i="8"/>
  <c r="Z42" i="8"/>
  <c r="Y42" i="8"/>
  <c r="X42" i="8"/>
  <c r="W42" i="8"/>
  <c r="V42" i="8"/>
  <c r="U42" i="8"/>
  <c r="T42" i="8"/>
  <c r="S42" i="8"/>
  <c r="R42" i="8"/>
  <c r="Q42" i="8"/>
  <c r="P42" i="8"/>
  <c r="O42" i="8"/>
  <c r="N42" i="8"/>
  <c r="M42" i="8"/>
  <c r="L42" i="8"/>
  <c r="K42" i="8"/>
  <c r="J42" i="8"/>
  <c r="K33" i="8"/>
  <c r="L33" i="8"/>
  <c r="M33" i="8"/>
  <c r="N33" i="8"/>
  <c r="O33" i="8"/>
  <c r="P33" i="8"/>
  <c r="Q33" i="8"/>
  <c r="R33" i="8"/>
  <c r="S33" i="8"/>
  <c r="T33" i="8"/>
  <c r="U33" i="8"/>
  <c r="V33" i="8"/>
  <c r="W33" i="8"/>
  <c r="X33" i="8"/>
  <c r="Y33" i="8"/>
  <c r="Z33" i="8"/>
  <c r="AA33" i="8"/>
  <c r="AB33" i="8"/>
  <c r="AC33" i="8"/>
  <c r="AD33" i="8"/>
  <c r="AE33" i="8"/>
  <c r="AF33" i="8"/>
  <c r="AG33" i="8"/>
  <c r="J33" i="8"/>
  <c r="K32" i="8"/>
  <c r="K9" i="8" s="1"/>
  <c r="L32" i="8"/>
  <c r="M32" i="8"/>
  <c r="M31" i="8" s="1"/>
  <c r="N32" i="8"/>
  <c r="O32" i="8"/>
  <c r="O31" i="8" s="1"/>
  <c r="P32" i="8"/>
  <c r="P9" i="8" s="1"/>
  <c r="Q32" i="8"/>
  <c r="R32" i="8"/>
  <c r="R9" i="8" s="1"/>
  <c r="S32" i="8"/>
  <c r="S9" i="8" s="1"/>
  <c r="T32" i="8"/>
  <c r="T9" i="8" s="1"/>
  <c r="U32" i="8"/>
  <c r="V32" i="8"/>
  <c r="V9" i="8" s="1"/>
  <c r="W32" i="8"/>
  <c r="W9" i="8" s="1"/>
  <c r="X32" i="8"/>
  <c r="X31" i="8" s="1"/>
  <c r="Y32" i="8"/>
  <c r="Y31" i="8" s="1"/>
  <c r="Z32" i="8"/>
  <c r="Z9" i="8" s="1"/>
  <c r="AA32" i="8"/>
  <c r="AA9" i="8" s="1"/>
  <c r="AB32" i="8"/>
  <c r="AB9" i="8" s="1"/>
  <c r="AC32" i="8"/>
  <c r="AD32" i="8"/>
  <c r="AD9" i="8" s="1"/>
  <c r="AE32" i="8"/>
  <c r="AE9" i="8" s="1"/>
  <c r="AF32" i="8"/>
  <c r="AF9" i="8" s="1"/>
  <c r="D9" i="8" s="1"/>
  <c r="AG32" i="8"/>
  <c r="J32" i="8"/>
  <c r="E31" i="8" s="1"/>
  <c r="K31" i="8"/>
  <c r="L31" i="8"/>
  <c r="W31" i="8"/>
  <c r="AA31" i="8"/>
  <c r="AB31" i="8"/>
  <c r="AC31" i="8"/>
  <c r="G33" i="8"/>
  <c r="F33" i="8" s="1"/>
  <c r="G38" i="8"/>
  <c r="D38" i="8"/>
  <c r="G37" i="8"/>
  <c r="F37" i="8" s="1"/>
  <c r="D37" i="8"/>
  <c r="AG36" i="8"/>
  <c r="AF36" i="8"/>
  <c r="AE36" i="8"/>
  <c r="AD36" i="8"/>
  <c r="AC36" i="8"/>
  <c r="AB36" i="8"/>
  <c r="AA36" i="8"/>
  <c r="Z36" i="8"/>
  <c r="Y36" i="8"/>
  <c r="X36" i="8"/>
  <c r="W36" i="8"/>
  <c r="V36" i="8"/>
  <c r="U36" i="8"/>
  <c r="T36" i="8"/>
  <c r="S36" i="8"/>
  <c r="R36" i="8"/>
  <c r="Q36" i="8"/>
  <c r="P36" i="8"/>
  <c r="O36" i="8"/>
  <c r="N36" i="8"/>
  <c r="M36" i="8"/>
  <c r="L36" i="8"/>
  <c r="K36" i="8"/>
  <c r="J36" i="8"/>
  <c r="G35" i="8"/>
  <c r="F35" i="8"/>
  <c r="F34" i="8" s="1"/>
  <c r="E34" i="8"/>
  <c r="D35" i="8"/>
  <c r="AG34" i="8"/>
  <c r="AF34" i="8"/>
  <c r="AE34" i="8"/>
  <c r="AD34" i="8"/>
  <c r="AC34" i="8"/>
  <c r="AB34" i="8"/>
  <c r="AA34" i="8"/>
  <c r="Z34" i="8"/>
  <c r="Y34" i="8"/>
  <c r="X34" i="8"/>
  <c r="W34" i="8"/>
  <c r="V34" i="8"/>
  <c r="U34" i="8"/>
  <c r="T34" i="8"/>
  <c r="S34" i="8"/>
  <c r="R34" i="8"/>
  <c r="Q34" i="8"/>
  <c r="P34" i="8"/>
  <c r="O34" i="8"/>
  <c r="N34" i="8"/>
  <c r="M34" i="8"/>
  <c r="L34" i="8"/>
  <c r="K34" i="8"/>
  <c r="J34" i="8"/>
  <c r="G34" i="8"/>
  <c r="K20" i="8"/>
  <c r="L20" i="8"/>
  <c r="L11" i="8" s="1"/>
  <c r="M20" i="8"/>
  <c r="N20" i="8"/>
  <c r="O20" i="8"/>
  <c r="O11" i="8" s="1"/>
  <c r="P20" i="8"/>
  <c r="P11" i="8" s="1"/>
  <c r="Q20" i="8"/>
  <c r="Q11" i="8" s="1"/>
  <c r="R20" i="8"/>
  <c r="R11" i="8" s="1"/>
  <c r="S20" i="8"/>
  <c r="S11" i="8" s="1"/>
  <c r="T20" i="8"/>
  <c r="U20" i="8"/>
  <c r="U11" i="8" s="1"/>
  <c r="V20" i="8"/>
  <c r="W20" i="8"/>
  <c r="W11" i="8" s="1"/>
  <c r="X20" i="8"/>
  <c r="Y20" i="8"/>
  <c r="Y11" i="8" s="1"/>
  <c r="Z20" i="8"/>
  <c r="AA20" i="8"/>
  <c r="AB20" i="8"/>
  <c r="AC20" i="8"/>
  <c r="AC11" i="8" s="1"/>
  <c r="AD20" i="8"/>
  <c r="AE20" i="8"/>
  <c r="AE11" i="8" s="1"/>
  <c r="AF20" i="8"/>
  <c r="AG20" i="8"/>
  <c r="AG11" i="8" s="1"/>
  <c r="J20" i="8"/>
  <c r="K19" i="8"/>
  <c r="K10" i="8" s="1"/>
  <c r="L19" i="8"/>
  <c r="L10" i="8" s="1"/>
  <c r="M19" i="8"/>
  <c r="M18" i="8" s="1"/>
  <c r="N19" i="8"/>
  <c r="N10" i="8" s="1"/>
  <c r="O19" i="8"/>
  <c r="O10" i="8" s="1"/>
  <c r="P19" i="8"/>
  <c r="P10" i="8" s="1"/>
  <c r="Q19" i="8"/>
  <c r="Q18" i="8" s="1"/>
  <c r="R19" i="8"/>
  <c r="R10" i="8" s="1"/>
  <c r="S19" i="8"/>
  <c r="S18" i="8" s="1"/>
  <c r="T19" i="8"/>
  <c r="T10" i="8" s="1"/>
  <c r="U19" i="8"/>
  <c r="U10" i="8" s="1"/>
  <c r="V19" i="8"/>
  <c r="V18" i="8" s="1"/>
  <c r="W19" i="8"/>
  <c r="W10" i="8" s="1"/>
  <c r="X19" i="8"/>
  <c r="X10" i="8" s="1"/>
  <c r="Y19" i="8"/>
  <c r="Y18" i="8" s="1"/>
  <c r="Z19" i="8"/>
  <c r="Z10" i="8" s="1"/>
  <c r="AA19" i="8"/>
  <c r="AA10" i="8" s="1"/>
  <c r="AB19" i="8"/>
  <c r="AB18" i="8" s="1"/>
  <c r="AC19" i="8"/>
  <c r="AC18" i="8" s="1"/>
  <c r="AD19" i="8"/>
  <c r="AD18" i="8" s="1"/>
  <c r="AE19" i="8"/>
  <c r="AE18" i="8" s="1"/>
  <c r="AF19" i="8"/>
  <c r="AF10" i="8" s="1"/>
  <c r="AG19" i="8"/>
  <c r="AG18" i="8" s="1"/>
  <c r="J19" i="8"/>
  <c r="G29" i="8"/>
  <c r="D29" i="8"/>
  <c r="G28" i="8"/>
  <c r="F28" i="8" s="1"/>
  <c r="E27" i="8"/>
  <c r="D28" i="8"/>
  <c r="AG27" i="8"/>
  <c r="AF27" i="8"/>
  <c r="AE27" i="8"/>
  <c r="AD27" i="8"/>
  <c r="AC27" i="8"/>
  <c r="AB27" i="8"/>
  <c r="AA27" i="8"/>
  <c r="Z27" i="8"/>
  <c r="Y27" i="8"/>
  <c r="X27" i="8"/>
  <c r="W27" i="8"/>
  <c r="V27" i="8"/>
  <c r="U27" i="8"/>
  <c r="T27" i="8"/>
  <c r="S27" i="8"/>
  <c r="R27" i="8"/>
  <c r="Q27" i="8"/>
  <c r="P27" i="8"/>
  <c r="O27" i="8"/>
  <c r="N27" i="8"/>
  <c r="M27" i="8"/>
  <c r="L27" i="8"/>
  <c r="K27" i="8"/>
  <c r="J27" i="8"/>
  <c r="G26" i="8"/>
  <c r="F26" i="8" s="1"/>
  <c r="D26" i="8"/>
  <c r="G25" i="8"/>
  <c r="D25" i="8"/>
  <c r="AG24" i="8"/>
  <c r="AF24" i="8"/>
  <c r="AE24" i="8"/>
  <c r="AD24" i="8"/>
  <c r="AC24" i="8"/>
  <c r="AB24" i="8"/>
  <c r="AA24" i="8"/>
  <c r="Z24" i="8"/>
  <c r="Y24" i="8"/>
  <c r="X24" i="8"/>
  <c r="W24" i="8"/>
  <c r="V24" i="8"/>
  <c r="U24" i="8"/>
  <c r="T24" i="8"/>
  <c r="S24" i="8"/>
  <c r="R24" i="8"/>
  <c r="Q24" i="8"/>
  <c r="P24" i="8"/>
  <c r="O24" i="8"/>
  <c r="N24" i="8"/>
  <c r="M24" i="8"/>
  <c r="L24" i="8"/>
  <c r="K24" i="8"/>
  <c r="J24" i="8"/>
  <c r="G23" i="8"/>
  <c r="F23" i="8"/>
  <c r="D23" i="8"/>
  <c r="G22" i="8"/>
  <c r="G21" i="8" s="1"/>
  <c r="D22" i="8"/>
  <c r="AG21" i="8"/>
  <c r="AF21" i="8"/>
  <c r="AE21" i="8"/>
  <c r="AD21" i="8"/>
  <c r="AC21" i="8"/>
  <c r="AB21" i="8"/>
  <c r="AA21" i="8"/>
  <c r="Z21" i="8"/>
  <c r="Y21" i="8"/>
  <c r="X21" i="8"/>
  <c r="W21" i="8"/>
  <c r="V21" i="8"/>
  <c r="U21" i="8"/>
  <c r="T21" i="8"/>
  <c r="S21" i="8"/>
  <c r="R21" i="8"/>
  <c r="Q21" i="8"/>
  <c r="P21" i="8"/>
  <c r="O21" i="8"/>
  <c r="N21" i="8"/>
  <c r="M21" i="8"/>
  <c r="L21" i="8"/>
  <c r="K21" i="8"/>
  <c r="J21" i="8"/>
  <c r="N18" i="8"/>
  <c r="X18" i="8"/>
  <c r="Z18" i="8"/>
  <c r="AG40" i="8"/>
  <c r="AE40" i="8"/>
  <c r="AD40" i="8"/>
  <c r="AC40" i="8"/>
  <c r="AA40" i="8"/>
  <c r="W40" i="8"/>
  <c r="U40" i="8"/>
  <c r="S40" i="8"/>
  <c r="R40" i="8"/>
  <c r="Q40" i="8"/>
  <c r="O40" i="8"/>
  <c r="L40" i="8"/>
  <c r="J40" i="8"/>
  <c r="G16" i="8"/>
  <c r="D16" i="8"/>
  <c r="G15" i="8"/>
  <c r="D15" i="8"/>
  <c r="G14" i="8"/>
  <c r="D14" i="8"/>
  <c r="AG13" i="8"/>
  <c r="AF13" i="8"/>
  <c r="AE13" i="8"/>
  <c r="AD13" i="8"/>
  <c r="AC13" i="8"/>
  <c r="AB13" i="8"/>
  <c r="AA13" i="8"/>
  <c r="Z13" i="8"/>
  <c r="Y13" i="8"/>
  <c r="X13" i="8"/>
  <c r="W13" i="8"/>
  <c r="V13" i="8"/>
  <c r="U13" i="8"/>
  <c r="T13" i="8"/>
  <c r="S13" i="8"/>
  <c r="R13" i="8"/>
  <c r="Q13" i="8"/>
  <c r="P13" i="8"/>
  <c r="O13" i="8"/>
  <c r="N13" i="8"/>
  <c r="M13" i="8"/>
  <c r="L13" i="8"/>
  <c r="K13" i="8"/>
  <c r="J13" i="8"/>
  <c r="N40" i="8" l="1"/>
  <c r="E41" i="8"/>
  <c r="E40" i="8" s="1"/>
  <c r="P46" i="8"/>
  <c r="E47" i="8"/>
  <c r="H21" i="20"/>
  <c r="AI19" i="9"/>
  <c r="AI18" i="9"/>
  <c r="E21" i="9"/>
  <c r="AI21" i="9"/>
  <c r="AI17" i="9"/>
  <c r="G11" i="9"/>
  <c r="H43" i="8"/>
  <c r="N46" i="8"/>
  <c r="J11" i="8"/>
  <c r="J18" i="8"/>
  <c r="AF11" i="8"/>
  <c r="AD11" i="8"/>
  <c r="AB11" i="8"/>
  <c r="AB8" i="8" s="1"/>
  <c r="X11" i="8"/>
  <c r="V11" i="8"/>
  <c r="T11" i="8"/>
  <c r="G47" i="8"/>
  <c r="J46" i="8"/>
  <c r="Z11" i="8"/>
  <c r="Z8" i="8" s="1"/>
  <c r="D41" i="8"/>
  <c r="D40" i="8" s="1"/>
  <c r="N11" i="8"/>
  <c r="E11" i="8" s="1"/>
  <c r="M11" i="8"/>
  <c r="Y10" i="8"/>
  <c r="Q10" i="8"/>
  <c r="E36" i="8"/>
  <c r="K11" i="8"/>
  <c r="X9" i="8"/>
  <c r="AB10" i="8"/>
  <c r="AG10" i="8"/>
  <c r="AA18" i="8"/>
  <c r="O9" i="8"/>
  <c r="G9" i="8" s="1"/>
  <c r="F9" i="8" s="1"/>
  <c r="AE10" i="8"/>
  <c r="S10" i="8"/>
  <c r="AA11" i="8"/>
  <c r="AC10" i="8"/>
  <c r="M10" i="8"/>
  <c r="T40" i="8"/>
  <c r="J9" i="8"/>
  <c r="J10" i="8"/>
  <c r="AD10" i="8"/>
  <c r="V10" i="8"/>
  <c r="K40" i="8"/>
  <c r="D8" i="4"/>
  <c r="H38" i="14"/>
  <c r="I28" i="14"/>
  <c r="H35" i="14"/>
  <c r="F34" i="4"/>
  <c r="E26" i="14"/>
  <c r="H25" i="14"/>
  <c r="F11" i="4"/>
  <c r="I25" i="14"/>
  <c r="E27" i="9"/>
  <c r="H11" i="4"/>
  <c r="I12" i="4"/>
  <c r="H12" i="4"/>
  <c r="F12" i="4"/>
  <c r="G8" i="4"/>
  <c r="I34" i="4"/>
  <c r="H34" i="4"/>
  <c r="I21" i="20"/>
  <c r="D8" i="20"/>
  <c r="G8" i="20"/>
  <c r="I33" i="14"/>
  <c r="E22" i="14"/>
  <c r="I35" i="14"/>
  <c r="I38" i="14"/>
  <c r="I28" i="9"/>
  <c r="E13" i="9"/>
  <c r="E17" i="9"/>
  <c r="G27" i="9"/>
  <c r="H10" i="20"/>
  <c r="F12" i="20"/>
  <c r="I10" i="20"/>
  <c r="F10" i="20"/>
  <c r="I12" i="20"/>
  <c r="H12" i="20"/>
  <c r="I9" i="20"/>
  <c r="H9" i="20"/>
  <c r="F9" i="20"/>
  <c r="E18" i="14"/>
  <c r="H15" i="14"/>
  <c r="I21" i="14"/>
  <c r="E42" i="14"/>
  <c r="F33" i="14"/>
  <c r="E32" i="14"/>
  <c r="D32" i="14"/>
  <c r="E29" i="14"/>
  <c r="I31" i="14"/>
  <c r="H33" i="14"/>
  <c r="I20" i="14"/>
  <c r="F31" i="14"/>
  <c r="AA42" i="14"/>
  <c r="I34" i="14"/>
  <c r="H31" i="14"/>
  <c r="J42" i="14"/>
  <c r="D42" i="14" s="1"/>
  <c r="I43" i="14"/>
  <c r="I30" i="14"/>
  <c r="G18" i="14"/>
  <c r="G32" i="14"/>
  <c r="D9" i="14"/>
  <c r="D29" i="14"/>
  <c r="I19" i="14"/>
  <c r="G23" i="14"/>
  <c r="F23" i="14" s="1"/>
  <c r="AD8" i="14"/>
  <c r="V8" i="14"/>
  <c r="R8" i="14"/>
  <c r="E10" i="14"/>
  <c r="I27" i="14"/>
  <c r="H27" i="14"/>
  <c r="G24" i="14"/>
  <c r="G26" i="14"/>
  <c r="D18" i="14"/>
  <c r="I16" i="14"/>
  <c r="W8" i="14"/>
  <c r="I14" i="14"/>
  <c r="M8" i="14"/>
  <c r="Y8" i="14"/>
  <c r="I15" i="14"/>
  <c r="E13" i="14"/>
  <c r="T8" i="14"/>
  <c r="U8" i="14"/>
  <c r="AG8" i="14"/>
  <c r="D13" i="14"/>
  <c r="AF8" i="14"/>
  <c r="F20" i="14"/>
  <c r="H20" i="14"/>
  <c r="F19" i="14"/>
  <c r="F21" i="14"/>
  <c r="H19" i="14"/>
  <c r="H21" i="14"/>
  <c r="I44" i="14"/>
  <c r="F44" i="14"/>
  <c r="D24" i="14"/>
  <c r="D44" i="14"/>
  <c r="H44" i="14" s="1"/>
  <c r="S8" i="14"/>
  <c r="AE8" i="14"/>
  <c r="G13" i="14"/>
  <c r="G29" i="14"/>
  <c r="G42" i="14"/>
  <c r="D23" i="14"/>
  <c r="D43" i="14"/>
  <c r="H43" i="14" s="1"/>
  <c r="X8" i="14"/>
  <c r="F14" i="14"/>
  <c r="F16" i="14"/>
  <c r="F28" i="14"/>
  <c r="F26" i="14" s="1"/>
  <c r="F30" i="14"/>
  <c r="F34" i="14"/>
  <c r="F43" i="14"/>
  <c r="N8" i="14"/>
  <c r="Z8" i="14"/>
  <c r="H14" i="14"/>
  <c r="H16" i="14"/>
  <c r="H28" i="14"/>
  <c r="H30" i="14"/>
  <c r="H34" i="14"/>
  <c r="AA8" i="14"/>
  <c r="I29" i="9"/>
  <c r="D27" i="9"/>
  <c r="I30" i="9"/>
  <c r="H29" i="9"/>
  <c r="F28" i="9"/>
  <c r="F30" i="9"/>
  <c r="H28" i="9"/>
  <c r="H30" i="9"/>
  <c r="G17" i="9"/>
  <c r="D25" i="9"/>
  <c r="D24" i="9" s="1"/>
  <c r="AF24" i="9"/>
  <c r="G25" i="9"/>
  <c r="F25" i="9" s="1"/>
  <c r="F24" i="9" s="1"/>
  <c r="AG24" i="9"/>
  <c r="I22" i="9"/>
  <c r="AG21" i="9"/>
  <c r="D17" i="9"/>
  <c r="P8" i="9"/>
  <c r="Q8" i="9"/>
  <c r="F22" i="9"/>
  <c r="F21" i="9" s="1"/>
  <c r="G21" i="9"/>
  <c r="J21" i="9"/>
  <c r="D22" i="9"/>
  <c r="K21" i="9"/>
  <c r="H19" i="9"/>
  <c r="I20" i="9"/>
  <c r="I18" i="9"/>
  <c r="D13" i="9"/>
  <c r="I19" i="9"/>
  <c r="F18" i="9"/>
  <c r="F20" i="9"/>
  <c r="H18" i="9"/>
  <c r="H20" i="9"/>
  <c r="S8" i="9"/>
  <c r="AE8" i="9"/>
  <c r="Z8" i="9"/>
  <c r="I14" i="9"/>
  <c r="AC8" i="9"/>
  <c r="AB8" i="9"/>
  <c r="AF8" i="9"/>
  <c r="I15" i="9"/>
  <c r="AG8" i="9"/>
  <c r="E9" i="9"/>
  <c r="V8" i="9"/>
  <c r="F15" i="9"/>
  <c r="G13" i="9"/>
  <c r="K8" i="9"/>
  <c r="W8" i="9"/>
  <c r="X8" i="9"/>
  <c r="F14" i="9"/>
  <c r="N8" i="9"/>
  <c r="H14" i="9"/>
  <c r="I48" i="8"/>
  <c r="I49" i="8"/>
  <c r="F47" i="8"/>
  <c r="F46" i="8" s="1"/>
  <c r="G46" i="8"/>
  <c r="H48" i="8"/>
  <c r="D47" i="8"/>
  <c r="D46" i="8" s="1"/>
  <c r="K46" i="8"/>
  <c r="E46" i="8"/>
  <c r="F49" i="8"/>
  <c r="F48" i="8" s="1"/>
  <c r="H49" i="8"/>
  <c r="G41" i="8"/>
  <c r="R8" i="8"/>
  <c r="AC8" i="8"/>
  <c r="I44" i="8"/>
  <c r="I45" i="8"/>
  <c r="D42" i="8"/>
  <c r="H42" i="8" s="1"/>
  <c r="I43" i="8"/>
  <c r="H44" i="8"/>
  <c r="F45" i="8"/>
  <c r="F44" i="8" s="1"/>
  <c r="H45" i="8"/>
  <c r="I42" i="8"/>
  <c r="F43" i="8"/>
  <c r="F42" i="8" s="1"/>
  <c r="AG31" i="8"/>
  <c r="U31" i="8"/>
  <c r="H25" i="8"/>
  <c r="AF31" i="8"/>
  <c r="T31" i="8"/>
  <c r="J31" i="8"/>
  <c r="AE31" i="8"/>
  <c r="S31" i="8"/>
  <c r="D33" i="8"/>
  <c r="H33" i="8" s="1"/>
  <c r="K18" i="8"/>
  <c r="AD31" i="8"/>
  <c r="R31" i="8"/>
  <c r="Q31" i="8"/>
  <c r="P31" i="8"/>
  <c r="O18" i="8"/>
  <c r="D32" i="8"/>
  <c r="Z31" i="8"/>
  <c r="N31" i="8"/>
  <c r="W18" i="8"/>
  <c r="G27" i="8"/>
  <c r="I27" i="8" s="1"/>
  <c r="I33" i="8"/>
  <c r="V31" i="8"/>
  <c r="V8" i="8"/>
  <c r="AG8" i="8"/>
  <c r="T8" i="8"/>
  <c r="G32" i="8"/>
  <c r="G31" i="8" s="1"/>
  <c r="I31" i="8" s="1"/>
  <c r="AE8" i="8"/>
  <c r="P8" i="8"/>
  <c r="D36" i="8"/>
  <c r="E21" i="8"/>
  <c r="I21" i="8" s="1"/>
  <c r="I35" i="8"/>
  <c r="I23" i="8"/>
  <c r="Q8" i="8"/>
  <c r="L18" i="8"/>
  <c r="I37" i="8"/>
  <c r="O8" i="8"/>
  <c r="F25" i="8"/>
  <c r="F24" i="8" s="1"/>
  <c r="I29" i="8"/>
  <c r="D24" i="8"/>
  <c r="I38" i="8"/>
  <c r="D34" i="8"/>
  <c r="H34" i="8" s="1"/>
  <c r="H37" i="8"/>
  <c r="F38" i="8"/>
  <c r="F36" i="8" s="1"/>
  <c r="H38" i="8"/>
  <c r="G36" i="8"/>
  <c r="I34" i="8"/>
  <c r="H35" i="8"/>
  <c r="D27" i="8"/>
  <c r="H27" i="8" s="1"/>
  <c r="P18" i="8"/>
  <c r="I26" i="8"/>
  <c r="E24" i="8"/>
  <c r="D19" i="8"/>
  <c r="E18" i="8"/>
  <c r="D21" i="8"/>
  <c r="H21" i="8" s="1"/>
  <c r="D20" i="8"/>
  <c r="T18" i="8"/>
  <c r="U8" i="8"/>
  <c r="G20" i="8"/>
  <c r="U18" i="8"/>
  <c r="AF18" i="8"/>
  <c r="R18" i="8"/>
  <c r="G19" i="8"/>
  <c r="H28" i="8"/>
  <c r="I28" i="8"/>
  <c r="F29" i="8"/>
  <c r="F27" i="8" s="1"/>
  <c r="H29" i="8"/>
  <c r="I25" i="8"/>
  <c r="G24" i="8"/>
  <c r="H26" i="8"/>
  <c r="F22" i="8"/>
  <c r="F21" i="8" s="1"/>
  <c r="I22" i="8"/>
  <c r="H22" i="8"/>
  <c r="H23" i="8"/>
  <c r="F32" i="8"/>
  <c r="F31" i="8" s="1"/>
  <c r="I14" i="8"/>
  <c r="S8" i="8"/>
  <c r="N8" i="8"/>
  <c r="K8" i="8"/>
  <c r="I15" i="8"/>
  <c r="E13" i="8"/>
  <c r="AF8" i="8"/>
  <c r="X8" i="8"/>
  <c r="AA8" i="8"/>
  <c r="D13" i="8"/>
  <c r="G13" i="8"/>
  <c r="Y8" i="8"/>
  <c r="AD8" i="8"/>
  <c r="D10" i="8"/>
  <c r="W8" i="8"/>
  <c r="H14" i="8"/>
  <c r="H16" i="8"/>
  <c r="H32" i="8"/>
  <c r="F14" i="8"/>
  <c r="I16" i="8"/>
  <c r="F15" i="8"/>
  <c r="F41" i="8"/>
  <c r="F40" i="8" s="1"/>
  <c r="H15" i="8"/>
  <c r="AI16" i="9" l="1"/>
  <c r="AI20" i="9"/>
  <c r="I13" i="9"/>
  <c r="H13" i="9"/>
  <c r="I17" i="9"/>
  <c r="E8" i="8"/>
  <c r="I26" i="14"/>
  <c r="G40" i="8"/>
  <c r="I40" i="8" s="1"/>
  <c r="I41" i="8"/>
  <c r="H41" i="8"/>
  <c r="D18" i="8"/>
  <c r="G11" i="8"/>
  <c r="F11" i="8" s="1"/>
  <c r="M8" i="8"/>
  <c r="D31" i="8"/>
  <c r="H31" i="8" s="1"/>
  <c r="G10" i="8"/>
  <c r="F10" i="8" s="1"/>
  <c r="J8" i="8"/>
  <c r="I27" i="9"/>
  <c r="F17" i="9"/>
  <c r="F27" i="9"/>
  <c r="F8" i="4"/>
  <c r="D22" i="14"/>
  <c r="I18" i="14"/>
  <c r="F8" i="20"/>
  <c r="F29" i="14"/>
  <c r="H27" i="9"/>
  <c r="I8" i="4"/>
  <c r="H8" i="4"/>
  <c r="I32" i="14"/>
  <c r="H26" i="14"/>
  <c r="F32" i="14"/>
  <c r="H18" i="14"/>
  <c r="H17" i="9"/>
  <c r="I8" i="20"/>
  <c r="H8" i="20"/>
  <c r="I24" i="14"/>
  <c r="G22" i="14"/>
  <c r="I22" i="14" s="1"/>
  <c r="H32" i="14"/>
  <c r="F13" i="14"/>
  <c r="F42" i="14"/>
  <c r="Q8" i="14"/>
  <c r="G9" i="14"/>
  <c r="H9" i="14" s="1"/>
  <c r="AB8" i="14"/>
  <c r="P8" i="14"/>
  <c r="H23" i="14"/>
  <c r="AC8" i="14"/>
  <c r="I23" i="14"/>
  <c r="F24" i="14"/>
  <c r="F22" i="14" s="1"/>
  <c r="G10" i="14"/>
  <c r="I10" i="14" s="1"/>
  <c r="D10" i="14"/>
  <c r="O8" i="14"/>
  <c r="F18" i="14"/>
  <c r="G11" i="14"/>
  <c r="K8" i="14"/>
  <c r="J8" i="14"/>
  <c r="E11" i="14"/>
  <c r="E8" i="14" s="1"/>
  <c r="D11" i="14"/>
  <c r="L8" i="14"/>
  <c r="I42" i="14"/>
  <c r="H42" i="14"/>
  <c r="I29" i="14"/>
  <c r="H29" i="14"/>
  <c r="I13" i="14"/>
  <c r="H13" i="14"/>
  <c r="H24" i="14"/>
  <c r="I25" i="9"/>
  <c r="O8" i="9"/>
  <c r="U8" i="9"/>
  <c r="L8" i="9"/>
  <c r="R8" i="9"/>
  <c r="H25" i="9"/>
  <c r="G24" i="9"/>
  <c r="AI23" i="9" s="1"/>
  <c r="AA8" i="9"/>
  <c r="I21" i="9"/>
  <c r="H21" i="9"/>
  <c r="H22" i="9"/>
  <c r="G9" i="9"/>
  <c r="T8" i="9"/>
  <c r="AD8" i="9"/>
  <c r="Y8" i="9"/>
  <c r="M8" i="9"/>
  <c r="F13" i="9"/>
  <c r="D11" i="9"/>
  <c r="D9" i="9"/>
  <c r="D10" i="9"/>
  <c r="E10" i="9"/>
  <c r="E8" i="9" s="1"/>
  <c r="G10" i="9"/>
  <c r="J8" i="9"/>
  <c r="H47" i="8"/>
  <c r="I46" i="8"/>
  <c r="H46" i="8"/>
  <c r="I47" i="8"/>
  <c r="F20" i="8"/>
  <c r="I20" i="8"/>
  <c r="D11" i="8"/>
  <c r="D8" i="8" s="1"/>
  <c r="I32" i="8"/>
  <c r="I13" i="8"/>
  <c r="L8" i="8"/>
  <c r="I36" i="8"/>
  <c r="H36" i="8"/>
  <c r="H20" i="8"/>
  <c r="G18" i="8"/>
  <c r="F19" i="8"/>
  <c r="I19" i="8"/>
  <c r="H19" i="8"/>
  <c r="I24" i="8"/>
  <c r="H24" i="8"/>
  <c r="H13" i="8"/>
  <c r="I9" i="8"/>
  <c r="H9" i="8"/>
  <c r="F13" i="8"/>
  <c r="I10" i="8" l="1"/>
  <c r="H10" i="8"/>
  <c r="F18" i="8"/>
  <c r="G8" i="8"/>
  <c r="H8" i="8" s="1"/>
  <c r="H40" i="8"/>
  <c r="I11" i="8"/>
  <c r="H11" i="8"/>
  <c r="F9" i="14"/>
  <c r="I9" i="14"/>
  <c r="H22" i="14"/>
  <c r="H10" i="14"/>
  <c r="D8" i="14"/>
  <c r="F10" i="14"/>
  <c r="I11" i="14"/>
  <c r="H11" i="14"/>
  <c r="F11" i="14"/>
  <c r="G8" i="14"/>
  <c r="I24" i="9"/>
  <c r="H24" i="9"/>
  <c r="H9" i="9"/>
  <c r="I9" i="9"/>
  <c r="F9" i="9"/>
  <c r="H11" i="9"/>
  <c r="I11" i="9"/>
  <c r="D8" i="9"/>
  <c r="F11" i="9"/>
  <c r="I10" i="9"/>
  <c r="H10" i="9"/>
  <c r="F10" i="9"/>
  <c r="G8" i="9"/>
  <c r="I18" i="8"/>
  <c r="H18" i="8"/>
  <c r="F8" i="8"/>
  <c r="I8" i="8" l="1"/>
  <c r="H8" i="9"/>
  <c r="F8" i="14"/>
  <c r="F8" i="9"/>
  <c r="I8" i="14"/>
  <c r="H8" i="14"/>
  <c r="I8" i="9"/>
  <c r="K10" i="3"/>
  <c r="L10" i="3"/>
  <c r="M10" i="3"/>
  <c r="N10" i="3"/>
  <c r="O10" i="3"/>
  <c r="P10" i="3"/>
  <c r="Q10" i="3"/>
  <c r="R10" i="3"/>
  <c r="S10" i="3"/>
  <c r="T10" i="3"/>
  <c r="U10" i="3"/>
  <c r="V10" i="3"/>
  <c r="W10" i="3"/>
  <c r="X10" i="3"/>
  <c r="Y10" i="3"/>
  <c r="Z10" i="3"/>
  <c r="AA10" i="3"/>
  <c r="AB10" i="3"/>
  <c r="AC10" i="3"/>
  <c r="AD10" i="3"/>
  <c r="AE10" i="3"/>
  <c r="AF10" i="3"/>
  <c r="AG10" i="3"/>
  <c r="J10" i="3"/>
  <c r="K9" i="3"/>
  <c r="L9" i="3"/>
  <c r="M9" i="3"/>
  <c r="N9" i="3"/>
  <c r="O9" i="3"/>
  <c r="P9" i="3"/>
  <c r="Q9" i="3"/>
  <c r="R9" i="3"/>
  <c r="S9" i="3"/>
  <c r="T9" i="3"/>
  <c r="U9" i="3"/>
  <c r="V9" i="3"/>
  <c r="W9" i="3"/>
  <c r="X9" i="3"/>
  <c r="Y9" i="3"/>
  <c r="Z9" i="3"/>
  <c r="AA9" i="3"/>
  <c r="AB9" i="3"/>
  <c r="AC9" i="3"/>
  <c r="AD9" i="3"/>
  <c r="AE9" i="3"/>
  <c r="AF9" i="3"/>
  <c r="AG9" i="3"/>
  <c r="J9" i="3"/>
  <c r="D10" i="3" l="1"/>
  <c r="D9" i="3"/>
  <c r="X8" i="3"/>
  <c r="Y8" i="3"/>
  <c r="L8" i="3"/>
  <c r="M8" i="3"/>
  <c r="K21" i="3"/>
  <c r="L21" i="3"/>
  <c r="M21" i="3"/>
  <c r="N21" i="3"/>
  <c r="O21" i="3"/>
  <c r="P21" i="3"/>
  <c r="Q21" i="3"/>
  <c r="R21" i="3"/>
  <c r="S21" i="3"/>
  <c r="T21" i="3"/>
  <c r="U21" i="3"/>
  <c r="V21" i="3"/>
  <c r="W21" i="3"/>
  <c r="X21" i="3"/>
  <c r="Y21" i="3"/>
  <c r="Z21" i="3"/>
  <c r="D21" i="3" s="1"/>
  <c r="AA21" i="3"/>
  <c r="AC21" i="3"/>
  <c r="AE21" i="3"/>
  <c r="AF21" i="3"/>
  <c r="AG21" i="3"/>
  <c r="J21" i="3"/>
  <c r="E21" i="3"/>
  <c r="F21" i="3"/>
  <c r="K13" i="2"/>
  <c r="L13" i="2"/>
  <c r="M13" i="2"/>
  <c r="N13" i="2"/>
  <c r="O13" i="2"/>
  <c r="P13" i="2"/>
  <c r="Q13" i="2"/>
  <c r="R13" i="2"/>
  <c r="S13" i="2"/>
  <c r="T13" i="2"/>
  <c r="U13" i="2"/>
  <c r="V13" i="2"/>
  <c r="W13" i="2"/>
  <c r="X13" i="2"/>
  <c r="Y13" i="2"/>
  <c r="Z13" i="2"/>
  <c r="AA13" i="2"/>
  <c r="AB13" i="2"/>
  <c r="AC13" i="2"/>
  <c r="AD13" i="2"/>
  <c r="AE13" i="2"/>
  <c r="AF13" i="2"/>
  <c r="AG13" i="2"/>
  <c r="J13" i="2"/>
  <c r="K17" i="2"/>
  <c r="L17" i="2"/>
  <c r="M17" i="2"/>
  <c r="N17" i="2"/>
  <c r="O17" i="2"/>
  <c r="P17" i="2"/>
  <c r="Q17" i="2"/>
  <c r="R17" i="2"/>
  <c r="S17" i="2"/>
  <c r="T17" i="2"/>
  <c r="U17" i="2"/>
  <c r="V17" i="2"/>
  <c r="W17" i="2"/>
  <c r="X17" i="2"/>
  <c r="Y17" i="2"/>
  <c r="Z17" i="2"/>
  <c r="AA17" i="2"/>
  <c r="AB17" i="2"/>
  <c r="AC17" i="2"/>
  <c r="AD17" i="2"/>
  <c r="AE17" i="2"/>
  <c r="AF17" i="2"/>
  <c r="AG17" i="2"/>
  <c r="J17" i="2"/>
  <c r="K19" i="3"/>
  <c r="K17" i="3" s="1"/>
  <c r="L19" i="3"/>
  <c r="L17" i="3" s="1"/>
  <c r="M19" i="3"/>
  <c r="M17" i="3" s="1"/>
  <c r="N19" i="3"/>
  <c r="N17" i="3" s="1"/>
  <c r="O19" i="3"/>
  <c r="O17" i="3" s="1"/>
  <c r="P19" i="3"/>
  <c r="P17" i="3" s="1"/>
  <c r="Q19" i="3"/>
  <c r="Q17" i="3" s="1"/>
  <c r="R19" i="3"/>
  <c r="R17" i="3" s="1"/>
  <c r="S19" i="3"/>
  <c r="S17" i="3" s="1"/>
  <c r="T19" i="3"/>
  <c r="T17" i="3" s="1"/>
  <c r="U19" i="3"/>
  <c r="U17" i="3" s="1"/>
  <c r="V19" i="3"/>
  <c r="V17" i="3" s="1"/>
  <c r="W19" i="3"/>
  <c r="W17" i="3" s="1"/>
  <c r="X19" i="3"/>
  <c r="X17" i="3" s="1"/>
  <c r="Y19" i="3"/>
  <c r="Y17" i="3" s="1"/>
  <c r="Z19" i="3"/>
  <c r="Z17" i="3" s="1"/>
  <c r="AA19" i="3"/>
  <c r="AA17" i="3" s="1"/>
  <c r="AB19" i="3"/>
  <c r="AC19" i="3"/>
  <c r="AC17" i="3" s="1"/>
  <c r="AD19" i="3"/>
  <c r="AD17" i="3" s="1"/>
  <c r="AE19" i="3"/>
  <c r="AE17" i="3" s="1"/>
  <c r="AF19" i="3"/>
  <c r="AF17" i="3" s="1"/>
  <c r="AG19" i="3"/>
  <c r="AG17" i="3" s="1"/>
  <c r="J19" i="3"/>
  <c r="J17" i="3" s="1"/>
  <c r="G14" i="3"/>
  <c r="F14" i="3" s="1"/>
  <c r="E14" i="3"/>
  <c r="D14" i="3"/>
  <c r="K13" i="3"/>
  <c r="L13" i="3"/>
  <c r="M13" i="3"/>
  <c r="N13" i="3"/>
  <c r="O13" i="3"/>
  <c r="P13" i="3"/>
  <c r="Q13" i="3"/>
  <c r="R13" i="3"/>
  <c r="S13" i="3"/>
  <c r="T13" i="3"/>
  <c r="U13" i="3"/>
  <c r="V13" i="3"/>
  <c r="W13" i="3"/>
  <c r="X13" i="3"/>
  <c r="Y13" i="3"/>
  <c r="AA13" i="3"/>
  <c r="AB13" i="3"/>
  <c r="AC13" i="3"/>
  <c r="AD13" i="3"/>
  <c r="AE13" i="3"/>
  <c r="AF13" i="3"/>
  <c r="AG13" i="3"/>
  <c r="J13" i="3"/>
  <c r="G22" i="3"/>
  <c r="G21" i="3" s="1"/>
  <c r="F22" i="3"/>
  <c r="D22" i="3"/>
  <c r="G19" i="3"/>
  <c r="G17" i="3" s="1"/>
  <c r="E19" i="3"/>
  <c r="D20" i="3"/>
  <c r="D19" i="3" s="1"/>
  <c r="G26" i="3"/>
  <c r="E26" i="3"/>
  <c r="D26" i="3"/>
  <c r="G25" i="3"/>
  <c r="G24" i="3" s="1"/>
  <c r="E25" i="3"/>
  <c r="D25" i="3"/>
  <c r="AG24" i="3"/>
  <c r="AF24" i="3"/>
  <c r="AE24" i="3"/>
  <c r="AD24" i="3"/>
  <c r="AC24" i="3"/>
  <c r="AB24" i="3"/>
  <c r="AA24" i="3"/>
  <c r="Z24" i="3"/>
  <c r="Y24" i="3"/>
  <c r="X24" i="3"/>
  <c r="W24" i="3"/>
  <c r="V24" i="3"/>
  <c r="U24" i="3"/>
  <c r="T24" i="3"/>
  <c r="S24" i="3"/>
  <c r="R24" i="3"/>
  <c r="Q24" i="3"/>
  <c r="P24" i="3"/>
  <c r="O24" i="3"/>
  <c r="N24" i="3"/>
  <c r="M24" i="3"/>
  <c r="L24" i="3"/>
  <c r="K24" i="3"/>
  <c r="J24" i="3"/>
  <c r="G15" i="3"/>
  <c r="E15" i="3"/>
  <c r="E13" i="3" s="1"/>
  <c r="D15" i="3"/>
  <c r="AC8" i="3"/>
  <c r="L9" i="12"/>
  <c r="L8" i="12" s="1"/>
  <c r="M9" i="12"/>
  <c r="M8" i="12" s="1"/>
  <c r="N9" i="12"/>
  <c r="O9" i="12"/>
  <c r="P9" i="12"/>
  <c r="Q9" i="12"/>
  <c r="R9" i="12"/>
  <c r="S9" i="12"/>
  <c r="T9" i="12"/>
  <c r="U9" i="12"/>
  <c r="U8" i="12" s="1"/>
  <c r="V9" i="12"/>
  <c r="V8" i="12" s="1"/>
  <c r="W9" i="12"/>
  <c r="W8" i="12" s="1"/>
  <c r="X9" i="12"/>
  <c r="Y9" i="12"/>
  <c r="Z9" i="12"/>
  <c r="Z8" i="12" s="1"/>
  <c r="AA9" i="12"/>
  <c r="AA8" i="12" s="1"/>
  <c r="AB9" i="12"/>
  <c r="AC9" i="12"/>
  <c r="AD9" i="12"/>
  <c r="AE9" i="12"/>
  <c r="AF9" i="12"/>
  <c r="AF8" i="12" s="1"/>
  <c r="AG9" i="12"/>
  <c r="AG8" i="12" s="1"/>
  <c r="Y8" i="12"/>
  <c r="E10" i="12"/>
  <c r="J10" i="12"/>
  <c r="K10" i="12"/>
  <c r="K8" i="12" s="1"/>
  <c r="L10" i="12"/>
  <c r="J9" i="12"/>
  <c r="K9" i="12"/>
  <c r="J8" i="12"/>
  <c r="K14" i="12"/>
  <c r="L14" i="12"/>
  <c r="M14" i="12"/>
  <c r="N14" i="12"/>
  <c r="O14" i="12"/>
  <c r="P14" i="12"/>
  <c r="Q14" i="12"/>
  <c r="R14" i="12"/>
  <c r="S14" i="12"/>
  <c r="T14" i="12"/>
  <c r="U14" i="12"/>
  <c r="V14" i="12"/>
  <c r="W14" i="12"/>
  <c r="X14" i="12"/>
  <c r="Y14" i="12"/>
  <c r="Z14" i="12"/>
  <c r="AA14" i="12"/>
  <c r="AB14" i="12"/>
  <c r="AC14" i="12"/>
  <c r="AD14" i="12"/>
  <c r="AE14" i="12"/>
  <c r="AF14" i="12"/>
  <c r="AG14" i="12"/>
  <c r="J14" i="12"/>
  <c r="K12" i="12"/>
  <c r="L12" i="12"/>
  <c r="M12" i="12"/>
  <c r="N12" i="12"/>
  <c r="O12" i="12"/>
  <c r="P12" i="12"/>
  <c r="Q12" i="12"/>
  <c r="R12" i="12"/>
  <c r="S12" i="12"/>
  <c r="T12" i="12"/>
  <c r="U12" i="12"/>
  <c r="V12" i="12"/>
  <c r="W12" i="12"/>
  <c r="X12" i="12"/>
  <c r="Y12" i="12"/>
  <c r="Z12" i="12"/>
  <c r="AA12" i="12"/>
  <c r="AB12" i="12"/>
  <c r="AC12" i="12"/>
  <c r="AD12" i="12"/>
  <c r="AE12" i="12"/>
  <c r="AF12" i="12"/>
  <c r="AG12" i="12"/>
  <c r="J12" i="12"/>
  <c r="G15" i="12"/>
  <c r="G14" i="12" s="1"/>
  <c r="E14" i="12"/>
  <c r="D15" i="12"/>
  <c r="D14" i="12" s="1"/>
  <c r="G13" i="12"/>
  <c r="G12" i="12" s="1"/>
  <c r="D13" i="12"/>
  <c r="D12" i="12" s="1"/>
  <c r="AG10" i="12"/>
  <c r="AF10" i="12"/>
  <c r="AE10" i="12"/>
  <c r="AD10" i="12"/>
  <c r="AD8" i="12" s="1"/>
  <c r="AC10" i="12"/>
  <c r="AC8" i="12" s="1"/>
  <c r="AB10" i="12"/>
  <c r="AB8" i="12" s="1"/>
  <c r="AA10" i="12"/>
  <c r="Z10" i="12"/>
  <c r="Y10" i="12"/>
  <c r="X10" i="12"/>
  <c r="X8" i="12" s="1"/>
  <c r="W10" i="12"/>
  <c r="V10" i="12"/>
  <c r="U10" i="12"/>
  <c r="T10" i="12"/>
  <c r="S10" i="12"/>
  <c r="R10" i="12"/>
  <c r="Q10" i="12"/>
  <c r="Q8" i="12" s="1"/>
  <c r="P10" i="12"/>
  <c r="P8" i="12" s="1"/>
  <c r="O10" i="12"/>
  <c r="N10" i="12"/>
  <c r="M10" i="12"/>
  <c r="G10" i="3" l="1"/>
  <c r="E24" i="3"/>
  <c r="I14" i="3"/>
  <c r="E10" i="3"/>
  <c r="I10" i="3" s="1"/>
  <c r="H17" i="3"/>
  <c r="E9" i="3"/>
  <c r="I17" i="3"/>
  <c r="G9" i="3"/>
  <c r="H10" i="3"/>
  <c r="D13" i="2"/>
  <c r="D17" i="2"/>
  <c r="O8" i="12"/>
  <c r="G9" i="12"/>
  <c r="I9" i="12" s="1"/>
  <c r="AG8" i="3"/>
  <c r="D8" i="3"/>
  <c r="J8" i="3"/>
  <c r="V8" i="3"/>
  <c r="T8" i="3"/>
  <c r="AF8" i="3"/>
  <c r="AD8" i="3"/>
  <c r="S8" i="3"/>
  <c r="K8" i="3"/>
  <c r="W8" i="3"/>
  <c r="P8" i="3"/>
  <c r="H21" i="3"/>
  <c r="G13" i="3"/>
  <c r="H14" i="3"/>
  <c r="AB8" i="3"/>
  <c r="D13" i="3"/>
  <c r="I21" i="3"/>
  <c r="H22" i="3"/>
  <c r="I22" i="3"/>
  <c r="Z8" i="3"/>
  <c r="N8" i="3"/>
  <c r="AE8" i="3"/>
  <c r="U8" i="3"/>
  <c r="I26" i="3"/>
  <c r="O8" i="3"/>
  <c r="AA8" i="3"/>
  <c r="Q8" i="3"/>
  <c r="H19" i="3"/>
  <c r="I19" i="3"/>
  <c r="R8" i="3"/>
  <c r="I15" i="3"/>
  <c r="H20" i="3"/>
  <c r="I20" i="3"/>
  <c r="F19" i="3"/>
  <c r="F17" i="3" s="1"/>
  <c r="I11" i="3"/>
  <c r="H11" i="3"/>
  <c r="I24" i="3"/>
  <c r="F25" i="3"/>
  <c r="F9" i="3" s="1"/>
  <c r="H16" i="3"/>
  <c r="H25" i="3"/>
  <c r="I16" i="3"/>
  <c r="I25" i="3"/>
  <c r="D24" i="3"/>
  <c r="H24" i="3" s="1"/>
  <c r="F15" i="3"/>
  <c r="F26" i="3"/>
  <c r="H15" i="3"/>
  <c r="H26" i="3"/>
  <c r="T8" i="12"/>
  <c r="D10" i="12"/>
  <c r="N8" i="12"/>
  <c r="AE8" i="12"/>
  <c r="R8" i="12"/>
  <c r="S8" i="12"/>
  <c r="G10" i="12"/>
  <c r="D9" i="12"/>
  <c r="I15" i="12"/>
  <c r="I13" i="12"/>
  <c r="H14" i="12"/>
  <c r="F13" i="12"/>
  <c r="F9" i="12" s="1"/>
  <c r="F15" i="12"/>
  <c r="H13" i="12"/>
  <c r="H15" i="12"/>
  <c r="G18" i="2"/>
  <c r="G9" i="2" s="1"/>
  <c r="D18" i="2"/>
  <c r="K11" i="2"/>
  <c r="L11" i="2"/>
  <c r="M11" i="2"/>
  <c r="N11" i="2"/>
  <c r="O11" i="2"/>
  <c r="P11" i="2"/>
  <c r="Q11" i="2"/>
  <c r="R11" i="2"/>
  <c r="S11" i="2"/>
  <c r="T11" i="2"/>
  <c r="U11" i="2"/>
  <c r="V11" i="2"/>
  <c r="W11" i="2"/>
  <c r="X11" i="2"/>
  <c r="Y11" i="2"/>
  <c r="Z11" i="2"/>
  <c r="AA11" i="2"/>
  <c r="AB11" i="2"/>
  <c r="AC11" i="2"/>
  <c r="AD11" i="2"/>
  <c r="AE11" i="2"/>
  <c r="AF11" i="2"/>
  <c r="AG11" i="2"/>
  <c r="J11" i="2"/>
  <c r="K10" i="2"/>
  <c r="L10" i="2"/>
  <c r="M10" i="2"/>
  <c r="N10" i="2"/>
  <c r="O10" i="2"/>
  <c r="P10" i="2"/>
  <c r="Q10" i="2"/>
  <c r="R10" i="2"/>
  <c r="S10" i="2"/>
  <c r="T10" i="2"/>
  <c r="U10" i="2"/>
  <c r="V10" i="2"/>
  <c r="W10" i="2"/>
  <c r="X10" i="2"/>
  <c r="Y10" i="2"/>
  <c r="Z10" i="2"/>
  <c r="AA10" i="2"/>
  <c r="AB10" i="2"/>
  <c r="AC10" i="2"/>
  <c r="AD10" i="2"/>
  <c r="AE10" i="2"/>
  <c r="AF10" i="2"/>
  <c r="AG10" i="2"/>
  <c r="J10" i="2"/>
  <c r="K9" i="2"/>
  <c r="L9" i="2"/>
  <c r="M9" i="2"/>
  <c r="N9" i="2"/>
  <c r="O9" i="2"/>
  <c r="P9" i="2"/>
  <c r="Q9" i="2"/>
  <c r="R9" i="2"/>
  <c r="S9" i="2"/>
  <c r="T9" i="2"/>
  <c r="U9" i="2"/>
  <c r="V9" i="2"/>
  <c r="W9" i="2"/>
  <c r="X9" i="2"/>
  <c r="Y9" i="2"/>
  <c r="Z9" i="2"/>
  <c r="AA9" i="2"/>
  <c r="AB9" i="2"/>
  <c r="AC9" i="2"/>
  <c r="AD9" i="2"/>
  <c r="AE9" i="2"/>
  <c r="AF9" i="2"/>
  <c r="AG9" i="2"/>
  <c r="J9" i="2"/>
  <c r="E9" i="2"/>
  <c r="G19" i="2"/>
  <c r="E10" i="2"/>
  <c r="G13" i="2"/>
  <c r="F11" i="2"/>
  <c r="D11" i="2"/>
  <c r="AD9" i="13"/>
  <c r="AE9" i="13"/>
  <c r="K15" i="13"/>
  <c r="K9" i="13" s="1"/>
  <c r="L15" i="13"/>
  <c r="L9" i="13" s="1"/>
  <c r="M15" i="13"/>
  <c r="M9" i="13" s="1"/>
  <c r="N15" i="13"/>
  <c r="N9" i="13" s="1"/>
  <c r="O15" i="13"/>
  <c r="O9" i="13" s="1"/>
  <c r="P15" i="13"/>
  <c r="P9" i="13" s="1"/>
  <c r="Q15" i="13"/>
  <c r="Q9" i="13" s="1"/>
  <c r="R15" i="13"/>
  <c r="R9" i="13" s="1"/>
  <c r="S15" i="13"/>
  <c r="S9" i="13" s="1"/>
  <c r="T15" i="13"/>
  <c r="T9" i="13" s="1"/>
  <c r="U15" i="13"/>
  <c r="U9" i="13" s="1"/>
  <c r="V15" i="13"/>
  <c r="V9" i="13" s="1"/>
  <c r="W15" i="13"/>
  <c r="W9" i="13" s="1"/>
  <c r="X15" i="13"/>
  <c r="X9" i="13" s="1"/>
  <c r="Y15" i="13"/>
  <c r="Y9" i="13" s="1"/>
  <c r="Z15" i="13"/>
  <c r="Z9" i="13" s="1"/>
  <c r="AA15" i="13"/>
  <c r="AA9" i="13" s="1"/>
  <c r="AB15" i="13"/>
  <c r="AB9" i="13" s="1"/>
  <c r="AC15" i="13"/>
  <c r="AC9" i="13" s="1"/>
  <c r="AD15" i="13"/>
  <c r="AE15" i="13"/>
  <c r="AF15" i="13"/>
  <c r="AF9" i="13" s="1"/>
  <c r="AG15" i="13"/>
  <c r="AG9" i="13" s="1"/>
  <c r="J15" i="13"/>
  <c r="K18" i="13"/>
  <c r="L18" i="13"/>
  <c r="M18" i="13"/>
  <c r="N18" i="13"/>
  <c r="O18" i="13"/>
  <c r="P18" i="13"/>
  <c r="Q18" i="13"/>
  <c r="R18" i="13"/>
  <c r="S18" i="13"/>
  <c r="T18" i="13"/>
  <c r="U18" i="13"/>
  <c r="V18" i="13"/>
  <c r="W18" i="13"/>
  <c r="X18" i="13"/>
  <c r="Y18" i="13"/>
  <c r="Z18" i="13"/>
  <c r="AA18" i="13"/>
  <c r="AB18" i="13"/>
  <c r="AC18" i="13"/>
  <c r="AD18" i="13"/>
  <c r="AE18" i="13"/>
  <c r="AF18" i="13"/>
  <c r="AG18" i="13"/>
  <c r="J18" i="13"/>
  <c r="E8" i="3" l="1"/>
  <c r="I9" i="3"/>
  <c r="H9" i="3"/>
  <c r="F10" i="3"/>
  <c r="G11" i="2"/>
  <c r="H11" i="2" s="1"/>
  <c r="AF8" i="2"/>
  <c r="L8" i="2"/>
  <c r="H13" i="2"/>
  <c r="G10" i="2"/>
  <c r="G8" i="2" s="1"/>
  <c r="I13" i="3"/>
  <c r="H13" i="3"/>
  <c r="F13" i="3"/>
  <c r="G8" i="3"/>
  <c r="F24" i="3"/>
  <c r="D8" i="12"/>
  <c r="H9" i="12"/>
  <c r="I10" i="12"/>
  <c r="H10" i="12"/>
  <c r="F14" i="12"/>
  <c r="F10" i="12"/>
  <c r="F12" i="12"/>
  <c r="G8" i="12"/>
  <c r="E8" i="12"/>
  <c r="I14" i="12"/>
  <c r="H12" i="12"/>
  <c r="I12" i="12"/>
  <c r="AC8" i="2"/>
  <c r="Q8" i="2"/>
  <c r="AB8" i="2"/>
  <c r="P8" i="2"/>
  <c r="AD8" i="2"/>
  <c r="F13" i="2"/>
  <c r="AA8" i="2"/>
  <c r="O8" i="2"/>
  <c r="I15" i="2"/>
  <c r="E13" i="2"/>
  <c r="I13" i="2" s="1"/>
  <c r="J8" i="2"/>
  <c r="Z8" i="2"/>
  <c r="W8" i="2"/>
  <c r="K8" i="2"/>
  <c r="AE8" i="2"/>
  <c r="S8" i="2"/>
  <c r="G17" i="2"/>
  <c r="E8" i="2"/>
  <c r="E17" i="2"/>
  <c r="D9" i="2"/>
  <c r="R8" i="2"/>
  <c r="I18" i="2"/>
  <c r="F18" i="2"/>
  <c r="H18" i="2"/>
  <c r="I10" i="2"/>
  <c r="T8" i="2"/>
  <c r="N8" i="2"/>
  <c r="M8" i="2"/>
  <c r="X8" i="2"/>
  <c r="V8" i="2"/>
  <c r="Y8" i="2"/>
  <c r="AG8" i="2"/>
  <c r="U8" i="2"/>
  <c r="I19" i="2"/>
  <c r="F19" i="2"/>
  <c r="F10" i="2" s="1"/>
  <c r="D19" i="2"/>
  <c r="D10" i="2" s="1"/>
  <c r="H10" i="2" s="1"/>
  <c r="H15" i="2"/>
  <c r="E9" i="13"/>
  <c r="J9" i="13"/>
  <c r="G19" i="13"/>
  <c r="G18" i="13" s="1"/>
  <c r="E18" i="13"/>
  <c r="D19" i="13"/>
  <c r="D18" i="13" s="1"/>
  <c r="G17" i="13"/>
  <c r="G16" i="13" s="1"/>
  <c r="E16" i="13"/>
  <c r="D17" i="13"/>
  <c r="D16" i="13" s="1"/>
  <c r="G15" i="13"/>
  <c r="E14" i="13"/>
  <c r="D15" i="13"/>
  <c r="AG14" i="13"/>
  <c r="AF14" i="13"/>
  <c r="AE14" i="13"/>
  <c r="AD14" i="13"/>
  <c r="AC14" i="13"/>
  <c r="AB14" i="13"/>
  <c r="AA14" i="13"/>
  <c r="Z14" i="13"/>
  <c r="Y14" i="13"/>
  <c r="X14" i="13"/>
  <c r="W14" i="13"/>
  <c r="V14" i="13"/>
  <c r="U14" i="13"/>
  <c r="T14" i="13"/>
  <c r="S14" i="13"/>
  <c r="R14" i="13"/>
  <c r="Q14" i="13"/>
  <c r="P14" i="13"/>
  <c r="O14" i="13"/>
  <c r="N14" i="13"/>
  <c r="M14" i="13"/>
  <c r="L14" i="13"/>
  <c r="K14" i="13"/>
  <c r="J14" i="13"/>
  <c r="G12" i="13"/>
  <c r="G11" i="13" s="1"/>
  <c r="E11" i="13"/>
  <c r="D12" i="13"/>
  <c r="AG11" i="13"/>
  <c r="AF11" i="13"/>
  <c r="AE11" i="13"/>
  <c r="AD11" i="13"/>
  <c r="AC11" i="13"/>
  <c r="AB11" i="13"/>
  <c r="AA11" i="13"/>
  <c r="Z11" i="13"/>
  <c r="Y11" i="13"/>
  <c r="X11" i="13"/>
  <c r="W11" i="13"/>
  <c r="V11" i="13"/>
  <c r="U11" i="13"/>
  <c r="T11" i="13"/>
  <c r="S11" i="13"/>
  <c r="R11" i="13"/>
  <c r="Q11" i="13"/>
  <c r="P11" i="13"/>
  <c r="O11" i="13"/>
  <c r="N11" i="13"/>
  <c r="M11" i="13"/>
  <c r="L11" i="13"/>
  <c r="K11" i="13"/>
  <c r="J11" i="13"/>
  <c r="X8" i="13"/>
  <c r="I11" i="2" l="1"/>
  <c r="F8" i="3"/>
  <c r="I8" i="3"/>
  <c r="H8" i="3"/>
  <c r="F8" i="12"/>
  <c r="H8" i="12"/>
  <c r="I8" i="12"/>
  <c r="D8" i="2"/>
  <c r="F17" i="2"/>
  <c r="F9" i="2"/>
  <c r="F8" i="2" s="1"/>
  <c r="I17" i="2"/>
  <c r="H17" i="2"/>
  <c r="I9" i="2"/>
  <c r="H9" i="2"/>
  <c r="H19" i="2"/>
  <c r="G14" i="13"/>
  <c r="G9" i="13"/>
  <c r="D14" i="13"/>
  <c r="D9" i="13"/>
  <c r="R8" i="13"/>
  <c r="U8" i="13"/>
  <c r="AG8" i="13"/>
  <c r="AD8" i="13"/>
  <c r="K8" i="13"/>
  <c r="W8" i="13"/>
  <c r="Y8" i="13"/>
  <c r="Z8" i="13"/>
  <c r="I19" i="13"/>
  <c r="H18" i="13"/>
  <c r="AA8" i="13"/>
  <c r="J8" i="13"/>
  <c r="M8" i="13"/>
  <c r="N8" i="13"/>
  <c r="I17" i="13"/>
  <c r="V8" i="13"/>
  <c r="I14" i="13"/>
  <c r="H14" i="13"/>
  <c r="I16" i="13"/>
  <c r="I18" i="13"/>
  <c r="I11" i="13"/>
  <c r="L8" i="13"/>
  <c r="F12" i="13"/>
  <c r="F15" i="13"/>
  <c r="F19" i="13"/>
  <c r="F18" i="13" s="1"/>
  <c r="H12" i="13"/>
  <c r="H15" i="13"/>
  <c r="H19" i="13"/>
  <c r="O8" i="13"/>
  <c r="I12" i="13"/>
  <c r="I15" i="13"/>
  <c r="P8" i="13"/>
  <c r="D11" i="13"/>
  <c r="H11" i="13" s="1"/>
  <c r="Q8" i="13"/>
  <c r="AC8" i="13"/>
  <c r="F17" i="13"/>
  <c r="F16" i="13" s="1"/>
  <c r="S8" i="13"/>
  <c r="AE8" i="13"/>
  <c r="T8" i="13"/>
  <c r="AF8" i="13"/>
  <c r="H17" i="13"/>
  <c r="AB8" i="13"/>
  <c r="I8" i="2" l="1"/>
  <c r="H8" i="2"/>
  <c r="F14" i="13"/>
  <c r="F9" i="13"/>
  <c r="F8" i="13" s="1"/>
  <c r="D8" i="13"/>
  <c r="I9" i="13"/>
  <c r="G8" i="13"/>
  <c r="E8" i="13"/>
  <c r="H16" i="13"/>
  <c r="H9" i="13"/>
  <c r="F11" i="13"/>
  <c r="I8" i="13" l="1"/>
  <c r="H8" i="13"/>
</calcChain>
</file>

<file path=xl/comments1.xml><?xml version="1.0" encoding="utf-8"?>
<comments xmlns="http://schemas.openxmlformats.org/spreadsheetml/2006/main">
  <authors>
    <author>Митина Екатерина Сергеевна</author>
  </authors>
  <commentList>
    <comment ref="C11" authorId="0" guid="{16B611EF-31A7-4446-9FCD-9EB07E3A9FCF}" shapeId="0">
      <text>
        <r>
          <rPr>
            <b/>
            <sz val="9"/>
            <color indexed="81"/>
            <rFont val="Tahoma"/>
            <family val="2"/>
            <charset val="204"/>
          </rPr>
          <t>Митина Екатерина Сергеевна:</t>
        </r>
        <r>
          <rPr>
            <sz val="9"/>
            <color indexed="81"/>
            <rFont val="Tahoma"/>
            <family val="2"/>
            <charset val="204"/>
          </rPr>
          <t xml:space="preserve">
тип средств 04.01.09</t>
        </r>
      </text>
    </comment>
  </commentList>
</comments>
</file>

<file path=xl/comments2.xml><?xml version="1.0" encoding="utf-8"?>
<comments xmlns="http://schemas.openxmlformats.org/spreadsheetml/2006/main">
  <authors>
    <author>Митина Екатерина Сергеевна</author>
  </authors>
  <commentList>
    <comment ref="B24" authorId="0" guid="{11437B3F-D3C2-4733-8AA5-D66559A621AC}" shapeId="0">
      <text>
        <r>
          <rPr>
            <b/>
            <sz val="9"/>
            <color indexed="81"/>
            <rFont val="Tahoma"/>
            <family val="2"/>
            <charset val="204"/>
          </rPr>
          <t>Митина Екатерина Сергеевна: Реализация данного проекта предусмотрена в 2026 году (фин.средств на 2025 год нет)</t>
        </r>
        <r>
          <rPr>
            <sz val="9"/>
            <color indexed="81"/>
            <rFont val="Tahoma"/>
            <family val="2"/>
            <charset val="204"/>
          </rPr>
          <t xml:space="preserve">
</t>
        </r>
      </text>
    </comment>
  </commentList>
</comments>
</file>

<file path=xl/comments3.xml><?xml version="1.0" encoding="utf-8"?>
<comments xmlns="http://schemas.openxmlformats.org/spreadsheetml/2006/main">
  <authors>
    <author>Митина Екатерина Сергеевна</author>
  </authors>
  <commentList>
    <comment ref="C11" authorId="0" guid="{3108883C-DF66-48F9-BCCE-841FF82C018B}" shapeId="0">
      <text>
        <r>
          <rPr>
            <b/>
            <sz val="9"/>
            <color indexed="81"/>
            <rFont val="Tahoma"/>
            <family val="2"/>
            <charset val="204"/>
          </rPr>
          <t>Митина Екатерина Сергеевна:
тип средств 04.07.07</t>
        </r>
        <r>
          <rPr>
            <sz val="9"/>
            <color indexed="81"/>
            <rFont val="Tahoma"/>
            <family val="2"/>
            <charset val="204"/>
          </rPr>
          <t xml:space="preserve">
</t>
        </r>
      </text>
    </comment>
  </commentList>
</comments>
</file>

<file path=xl/sharedStrings.xml><?xml version="1.0" encoding="utf-8"?>
<sst xmlns="http://schemas.openxmlformats.org/spreadsheetml/2006/main" count="2024" uniqueCount="374">
  <si>
    <t>тыс. рублей</t>
  </si>
  <si>
    <t>План на</t>
  </si>
  <si>
    <t xml:space="preserve">Профинансировано на </t>
  </si>
  <si>
    <t xml:space="preserve">Кассовый расход на </t>
  </si>
  <si>
    <t>Исполнение, %</t>
  </si>
  <si>
    <t>январь</t>
  </si>
  <si>
    <t>февраль</t>
  </si>
  <si>
    <t>март</t>
  </si>
  <si>
    <t>апрель</t>
  </si>
  <si>
    <t>май</t>
  </si>
  <si>
    <t>июнь</t>
  </si>
  <si>
    <t>июль</t>
  </si>
  <si>
    <t>август</t>
  </si>
  <si>
    <t>сентябрь</t>
  </si>
  <si>
    <t>октябрь</t>
  </si>
  <si>
    <t>ноябрь</t>
  </si>
  <si>
    <t>декабрь</t>
  </si>
  <si>
    <t>Результаты реализации и причины отклонений факта от плана</t>
  </si>
  <si>
    <t xml:space="preserve">план </t>
  </si>
  <si>
    <t>кассовый расход</t>
  </si>
  <si>
    <t>Всего</t>
  </si>
  <si>
    <t>бюджет города Когалыма</t>
  </si>
  <si>
    <t>бюджет автономного округа</t>
  </si>
  <si>
    <t>Всего по муниципальной программе</t>
  </si>
  <si>
    <t xml:space="preserve">Отчет о ходе реализации муниципальной программы </t>
  </si>
  <si>
    <t xml:space="preserve"> "Экономическое развитие города Когалыма" </t>
  </si>
  <si>
    <t>№п/п</t>
  </si>
  <si>
    <t>к плану на год</t>
  </si>
  <si>
    <t>к плану на отчетную дату</t>
  </si>
  <si>
    <t>Наименование направления (подпрограмм), структурных элементов</t>
  </si>
  <si>
    <t>Источники финансирования</t>
  </si>
  <si>
    <t>Направление (подпрограмма) «Совершенствование системы муниципального стратегического управления и развитие сферы муниципальных услуг»</t>
  </si>
  <si>
    <t>Структурные элементы, не входящие в направления (подпрограммы)</t>
  </si>
  <si>
    <t xml:space="preserve">Комплекс процессных мероприятий «Реализация механизмов стратегического управления социально-экономическим развитием города Когалыма» / «Приобретение статистической информации, подготовленной в соответствии с официальной методологией
Росстата»:
</t>
  </si>
  <si>
    <t>Комплекс процессных мероприятий «Обеспечение деятельности органов местного самоуправления города Когалыма», в том числе:</t>
  </si>
  <si>
    <t>«Обеспечено функционирование управления экономики Администрации города
Когалыма»</t>
  </si>
  <si>
    <t>«Обеспечено функционирование отдела муниципального заказа Администрации
города Когалыма»</t>
  </si>
  <si>
    <t xml:space="preserve"> 1.1</t>
  </si>
  <si>
    <t xml:space="preserve"> 2.1</t>
  </si>
  <si>
    <t xml:space="preserve"> "Содержание объектов городского хозяйства в городе Когалыме" </t>
  </si>
  <si>
    <t>внебюджетные источники</t>
  </si>
  <si>
    <t>Комплекс процессных мероприятий «Организация благоустройства территории города Когалыма и содержание объектов городского хозяйства города Когалыма» / Мероприятие (результат) «Организовано благоустройство территории города Когалыма и содержание объектов городского хозяйства города Когалыма»</t>
  </si>
  <si>
    <t>Направление (подпрограмма) «Обеспечение комплекса мер для решения вопросов местного значения»</t>
  </si>
  <si>
    <t>Направление (подпрограмма) «Организация благоустройства территории города Когалыма и содержание объектов городского хозяйства города Когалыма»</t>
  </si>
  <si>
    <t>Комплекс процессных мероприятий «Обеспечение функций и полномочий, переданных Администрацией города Когалыма в сфере жилищно-коммунального хозяйства» / Мероприятие (результат) «Организована реализация переданных полномочий в сфере жилищно-коммунального и городского хозяйства в городе Когалыме»</t>
  </si>
  <si>
    <t xml:space="preserve"> "Экологическая безопасность города Когалыма" </t>
  </si>
  <si>
    <t>Направление (подпрограмма) «Развитие системы обращения с отходами производства и потребления в городе Когалыме»</t>
  </si>
  <si>
    <t>Комплекс процессных мероприятий «Обеспечение регулирования деятельности по обращению с отходами производства и потребления в городе Когалыме» / «Обеспечение регулирования деятельности по обращению с отходами производства и потребления в городе Когалыме»</t>
  </si>
  <si>
    <t>Комплекс процессных мероприятий «Предупреждение и ликвидация несанкционированных свалок на территории города Когалыма» / «Организация мероприятий по выявлению, предупреждению и ликвидации несанкционированных свалок»</t>
  </si>
  <si>
    <t>Направление (подпрограмма) Повышение уровня благоустройства общественных территорий города Когалыма</t>
  </si>
  <si>
    <t>РП 1.1</t>
  </si>
  <si>
    <t xml:space="preserve"> 1.2</t>
  </si>
  <si>
    <t>федеральный бюджет</t>
  </si>
  <si>
    <t>Региональный проект «Формирование комфортной городской среды» / Реализация программ формирования современной городской среды</t>
  </si>
  <si>
    <t>Направление (подпрограмма) Градостроительное обеспечение и комплексное развитие территорий</t>
  </si>
  <si>
    <t xml:space="preserve"> РП 2.1</t>
  </si>
  <si>
    <t>Региональный проект «Национальная система пространственных данных» / Выполнение комплексных кадастровых работ</t>
  </si>
  <si>
    <t>Направление 1. «Реализация мероприятий по обеспечению жильем молодых семей»</t>
  </si>
  <si>
    <t>Региональный проект «Содействие субъектам Российской Федерации в реализации полномочий по оказанию государственной поддержки гражданам в обеспечении жильем и оплате / Обеспечены жильем молодые семьи в городе Когалыме
жилищно-коммунальных услуг»</t>
  </si>
  <si>
    <t>Комплекс процессных мероприятий «Развитие градостроительного регулирования в сфере жилищного строительства», в том числе:</t>
  </si>
  <si>
    <t>Мероприятие (результат) «Приобретены жилые помещения и осуществлены выплаты гражданам, в чьей собственности находятся жилые помещения, входящие в аварийный жилищный фонд»</t>
  </si>
  <si>
    <t xml:space="preserve">Мероприятие (результат) «Разработка (актуализация) документации в области градостроительной деятельности» </t>
  </si>
  <si>
    <t>Мероприятие (результат) «Освобождение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</si>
  <si>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 xml:space="preserve"> 3.1</t>
  </si>
  <si>
    <t>Комплекс процессных мероприятий «Оказание мер государственной поддержки на приобретение жилых помещений отдельным категориям граждан», в том числе:</t>
  </si>
  <si>
    <t>Мероприятие (результат) «Улучшены жилищные условия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</si>
  <si>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Мероприятие (результат) «Реализованы полномочия по обеспечению жилыми помещениями отдельных категорий
граждан»</t>
  </si>
  <si>
    <t>Направление 2. «Содействие развитию жилищного строительства»</t>
  </si>
  <si>
    <t>Направление 3. «Обеспечение мерами финансовой поддержки по улучшению жилищных условий отдельных категорий граждан»</t>
  </si>
  <si>
    <t xml:space="preserve"> 4.1</t>
  </si>
  <si>
    <t>Мероприятие (результат) «Обеспечено функционирование ОАиГ»</t>
  </si>
  <si>
    <t>Мероприятие (результат) «Обеспечено функционирование УпоЖП»</t>
  </si>
  <si>
    <t xml:space="preserve"> 4.2</t>
  </si>
  <si>
    <t>Комплекс процессных мероприятий «Обеспечение деятельности муниципальных казенных учреждений города Когалыма», в том числе:</t>
  </si>
  <si>
    <t>Мероприятие (результат) «Обеспечено функционирование МКУ «УКС и ЖКК г. Когалыма»</t>
  </si>
  <si>
    <t xml:space="preserve"> "Развитие жилищно-коммунального комплекса в городе Когалыме" </t>
  </si>
  <si>
    <t>Направление (подпрограмма) «Создание условий для обеспечения качественными коммунальными услугами»</t>
  </si>
  <si>
    <t>РП 1.2</t>
  </si>
  <si>
    <t>Региональный проект «Модернизация коммунальной инфраструктуры»</t>
  </si>
  <si>
    <t>Региональный проект «Создание (реконструкция) коммунальных объектов» / Строительство, реконструкция объектов инженерной и коммунальной инфраструктуры</t>
  </si>
  <si>
    <t xml:space="preserve">Комплекс процессных мероприятий «Создание условий для обеспечения качественными коммунальными услугами» / Мероприятие (результат) «Разработка топливно-энергетического баланса города Когалыма за 2024 год и актуализация прогнозного баланса до 2035 года» </t>
  </si>
  <si>
    <t>Направление (подпрограмма) «Содействие проведению капитального ремонта многоквартирных домов»</t>
  </si>
  <si>
    <t>Комплекс процессных мероприятий «Содействие проведению капитального ремонта многоквартирных домов» / Мероприятие (результат) «Субсидия на оказание дополнительной помощи при возникновении неотложной необходимости в проведении капитального ремонта общего имущества в многоквартирном доме»</t>
  </si>
  <si>
    <t xml:space="preserve">Направление (подпрограмма)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теплоснабжение, водоснабжения, водоотведения»
</t>
  </si>
  <si>
    <t>Комплекс процессных мероприятий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 Мероприятие (результат) «Предоставление субсидий на реализацию полномочий в сфере жилищнокоммунального комплекса»</t>
  </si>
  <si>
    <t>Направление (подпрограмма) 1. «Автомобильный транспорт»</t>
  </si>
  <si>
    <t>Направление (подпрограмма) 2. «Дорожное хозяйство»</t>
  </si>
  <si>
    <t>РП 2.1</t>
  </si>
  <si>
    <t>Комплекс процессных мероприятий «Организация дорожной деятельности в отношении автомобильных дорог местного значения в границах города Когалыма», в том числе:</t>
  </si>
  <si>
    <t>Направление (подпрограмма) 3. «Безопасность дорожного движения»</t>
  </si>
  <si>
    <t>Комплекс процессных мероприятий «Организация пассажирских перевозок автомобильным транспортом общего пользования по городским маршрутам» / Мероприятие (результат) «Обеспечение выполнения работ по перевозке пассажиров по городским маршрутам»</t>
  </si>
  <si>
    <t>Региональный проект «Строительство (реконструкция) автомобильных дорог общего пользования местного значения» / Проведены мероприятия по строительству (реконструкции), ремонту, в том числе капитальному,
автомобильных дорог местного значения</t>
  </si>
  <si>
    <t>Обеспечение текущего содержания автомобильных дорог местного значения в рамках муниципального задания</t>
  </si>
  <si>
    <t xml:space="preserve">Обеспечение организации дорожного движения </t>
  </si>
  <si>
    <t>Строительство, реконструкция, капитальный ремонт, ремонт сетей наружного освещения автомобильных дорог общего пользования
местного значения</t>
  </si>
  <si>
    <t>Обустройство объектов дорожной инфраструктуры</t>
  </si>
  <si>
    <t xml:space="preserve">Проведение работ по строительству, реконструкции и ремонту, в том числе капитальному, автомобильных дорог местного значения
пользования местного значения
</t>
  </si>
  <si>
    <t>Комплекс процессных мероприятий «Внедрение автоматизированных и роботизированных технологий организации дорожного движения и контроля за соблюдением правил дорожного движения»  / Мероприятие (результат) «Обеспечение бесперебойного функционирования системы фотовидеофиксации»</t>
  </si>
  <si>
    <t xml:space="preserve"> 2.1.3</t>
  </si>
  <si>
    <t xml:space="preserve"> 2.1.2</t>
  </si>
  <si>
    <t xml:space="preserve"> 2.1.1</t>
  </si>
  <si>
    <t xml:space="preserve"> 2.1.4</t>
  </si>
  <si>
    <t xml:space="preserve"> 2.1.5</t>
  </si>
  <si>
    <t>Направление (подпрограмма) «Развитие малого и среднего предпринимательства, повышение инвестиционной привлекательности»</t>
  </si>
  <si>
    <t xml:space="preserve"> РП 1.1</t>
  </si>
  <si>
    <t>Региональный проект «Малое и среднее предпринимательство и поддержка индивидуальной предпринимательской инициативы», в том числе:</t>
  </si>
  <si>
    <t xml:space="preserve">Предоставление субсидий на финансовую поддержку субъектов малого и среднего предпринимательства и развитие социального предпринимательства </t>
  </si>
  <si>
    <t>Предоставление грантовой поддержи субъектам малого и среднего предпринимательства:
- на развитие предпринимательства;
- на развитие молодежного предпринимательства;
- на развитие социального предпринимательства;
- на развитие креативного предпринимательства</t>
  </si>
  <si>
    <t>Комплекс процессных мероприятий «Обеспечение деятельности органов местного самоуправления города Когалыма» / «Обеспечено функционирование управления инвестиционной деятельности и развития
предпринимательства Администрации города Когалыма»</t>
  </si>
  <si>
    <t xml:space="preserve"> "Развитие малого и среднего предпринимательства и инвестиционной деятельности в городе Когалыме" </t>
  </si>
  <si>
    <t xml:space="preserve"> "Развитие транспортной системы города Когалыма" </t>
  </si>
  <si>
    <t xml:space="preserve"> "Развитие жилищной сферы в городе Когалыме" </t>
  </si>
  <si>
    <t xml:space="preserve"> "Формирование комфортной городской среды в городе Когалыме" </t>
  </si>
  <si>
    <t xml:space="preserve"> "Культурное пространство города Когалыма" </t>
  </si>
  <si>
    <t>внебюджетные источики</t>
  </si>
  <si>
    <t>Направление 1. «Модернизация и развитие учреждений и организаций культуры»</t>
  </si>
  <si>
    <t>Региональный проект «Сохранение культурного и исторического наследия», в том числе:</t>
  </si>
  <si>
    <t>1.1.1.  Проведены мероприятия по комплектованию книжных фондов библиотек муниципальных
образований всего</t>
  </si>
  <si>
    <t>1.2.1. Модернизированы библиотеки в муниципальных образованиях</t>
  </si>
  <si>
    <t>1.2.2.   Подключены общедоступные библиотеки в муниципальных образованиях к сети Интернет
и развита система библиотечного дела с учетом задачи расширения информационных
технологий и оцифровки всего</t>
  </si>
  <si>
    <t>Региональный проект «Семейные ценности и инфраструктура культуры»</t>
  </si>
  <si>
    <t>Комплекс процессных мероприятий «Организация и развитие культурной деятельности подведомственных учреждений в сфере культуры», в том числе:</t>
  </si>
  <si>
    <t>1.1 Мероприятие (результат) «Осуществлены функции и полномочия деятельности бюджетных и автономных учреждений культуры, подведомственных управлению культуры и спорта» всего, в том числе:</t>
  </si>
  <si>
    <t xml:space="preserve">1.1./1.1.1 Обеспечена деятельность (оказаны услуги) общедоступных библиотек города Когалыма </t>
  </si>
  <si>
    <t xml:space="preserve">1.1./.1.1.2    Укомплектован книжный фонд города Когалыма </t>
  </si>
  <si>
    <t xml:space="preserve">1.1./.1.1.3    Проведены библиотечные мероприятия, направленные на повышение читательского интереса </t>
  </si>
  <si>
    <t xml:space="preserve">1.1./1.1.4 Обеспечена деятельность (оказаны музейные услуги) </t>
  </si>
  <si>
    <t>1.1./.1.1.5   Пополнен фонд музея города Когалыма</t>
  </si>
  <si>
    <t>1.1./.1.1.6   Обеспечена информатизация музея города Когалым</t>
  </si>
  <si>
    <t>1.1./.1.1.7   Оказана поддержка выставочных проектов на базе МАУ «МВЦ»</t>
  </si>
  <si>
    <t>1.1./.1.1.8   Реализованы музейные проекты</t>
  </si>
  <si>
    <t xml:space="preserve">1.1./1.1.9 Обеспечена деятельность (оказаны услуги) муниципального культурно-досугового учреждения города Когалыма </t>
  </si>
  <si>
    <t>1.1./.1.1.10   Организованы и проведены культурно-массовые мероприятия</t>
  </si>
  <si>
    <t>1.1./.1.1.11  Оказана поддержка деятелей культуры и искусства</t>
  </si>
  <si>
    <t>1.2. Мероприятие (результат) «Осуществлено участие немуниципальных организаций (коммерческих, некоммерческих) и индивидуальных предпринимателей, осуществляющих деятельность в сфере культуры» всего, в том числе:</t>
  </si>
  <si>
    <t xml:space="preserve">1.2.1.Оказана поддержка немуниципальных организаций (коммерческих, некоммерческих) и индивидуальных предпринимателей, осуществляющих деятельность в сфере культуры </t>
  </si>
  <si>
    <t xml:space="preserve">1.2.2.Оказана поддержка некоммерческих организаций, в том числе добровольческих (волонтерских), по реализации проектов в сфере культуры </t>
  </si>
  <si>
    <t xml:space="preserve">1.3./1.3.1   «Укреплены материально-технические базы учреждений культуры города Когалыма» </t>
  </si>
  <si>
    <t>Комплекс процессных мероприятий «Развитие дополнительного образования в сфере культуры» / «Обеспечено осуществление деятельности автономного учреждения дополнительного образования в сфере культуры»</t>
  </si>
  <si>
    <t xml:space="preserve"> 1.3</t>
  </si>
  <si>
    <t xml:space="preserve">Комплекс процессный мероприятий «Развитие туризма» / Мероприятие (результат) «Осуществлено продвижение внутреннего и въездного туризма»  </t>
  </si>
  <si>
    <t xml:space="preserve"> 1.4</t>
  </si>
  <si>
    <t>Комплекс процессных мероприятий «Создание условий для сохранения культурного и
исторического наследия и развития архивного дела» всего, в том числе</t>
  </si>
  <si>
    <t>4.1./4.1.1.     Мероприятие (результат) «Проведено мероприятие для устойчивого развития коренных малочисленных народов / Обеспечено сохранение, возрождение и развитие народных художественных промыслов и ремесел "Севера"</t>
  </si>
  <si>
    <t xml:space="preserve">4.2 / 4.2.1   Мероприятие (результат) «Предоставлена субвенция на развитие архивного дела» / Обеспечено осуществление полномочий по хранению, комплектованию, учёту и использованию архивных документов,
относящихся к государственной собственности Ханты-Мансийского автономного округа – Югры </t>
  </si>
  <si>
    <t xml:space="preserve"> 1.5</t>
  </si>
  <si>
    <t xml:space="preserve">Обеспечено осуществление функций Управления культуры и спорта Администрации города Когалыма </t>
  </si>
  <si>
    <t>Обеспечена деятельность (оказаны услуги) архивного отдела Администрации города Когалыма</t>
  </si>
  <si>
    <t xml:space="preserve"> "Развитие агропромышленного комплекса в городе Когалыме" </t>
  </si>
  <si>
    <t>Направление (подпрограмма) «Развитие сельскохозяйственного производства и деятельности по заготовке и переработке дикоросов»</t>
  </si>
  <si>
    <t>Комплекс процессных мероприятий «Поддержка сельскохозяйственного производства и деятельности по заготовке и переработке дикоросов»/Мероприятие (результат) «Предоставление финансовой поддержки за произведенную и реализованную продукцию агропромышленного комплекса города Когалыма, на содержание поголовья сельскохозяйственных животных»</t>
  </si>
  <si>
    <t xml:space="preserve">Комплекс процессных мероприятий «Поддержка развития сельскохозяйственного производства в виде предоставления субсидий в целях возмещения затрат, связанных с реализацией сельскохозяйственной продукции (в том числе в части расходов по аренде торговых мест)» / Мероприятие (результат) «Предоставление финансовой поддержки сельскохозяйственным товаропроизводителям, связанной с реализацией произведенной сельскохозяйственной продукции (животноводства, растениеводства)»
</t>
  </si>
  <si>
    <t>1.</t>
  </si>
  <si>
    <t xml:space="preserve"> 1.1.</t>
  </si>
  <si>
    <t>2.</t>
  </si>
  <si>
    <t>2.1.</t>
  </si>
  <si>
    <t>2.2.</t>
  </si>
  <si>
    <t>3.</t>
  </si>
  <si>
    <t>3.1.</t>
  </si>
  <si>
    <t xml:space="preserve"> "Развитие муниципальной службы в городе Когалыме" </t>
  </si>
  <si>
    <t>Направление (подпрограмма) «Повышение профессионального уровня муниципальных служащих органов местного самоуправления города Когалыма»</t>
  </si>
  <si>
    <t xml:space="preserve">Комплекс процессных мероприятий «Дополнительное профессиональное образование муниципальных  служащих органов местного самоуправления  города Когалыма по приоритетным и иным направлениям деятельности»/ Мероприятие (результат) «Повышена квалификация руководителей и специалистов органов местного самоуправления города Когалыма по приоритетным и иным направлениям деятельности» </t>
  </si>
  <si>
    <t>Направление (подпрограмма) «Создание условий для развития муниципальной службы в органах местного самоуправления города Когалыма»</t>
  </si>
  <si>
    <t xml:space="preserve"> 2.1.</t>
  </si>
  <si>
    <t>Комплекс процессных мероприятий «Обеспечение мер, способствующих совершенствованию управления кадровым составом, повышению результативности и эффективности, а также престижа муниципальной службы в городе Когалыме, совершенствование антикоррупционных механизмов в системе муниципальной службы»/</t>
  </si>
  <si>
    <t>Комплекс процессных мероприятий «Осуществление переданных государственных полномочий в области регистрации актов гражданского состояния» / Мероприятие (результат) «Исполнены переданные государственные полномочия по государственной регистрации актов гражданского состояния»</t>
  </si>
  <si>
    <t>Направление (подпрограмма) «Структурные элементы, не входящие в направления (подпрограммы)»</t>
  </si>
  <si>
    <t>Комплекс процессных мероприятий «Обеспечение деятельности органов местного самоуправления города Когалыма» / Мероприятие (результат) «Обеспечена деятельность должностных лиц и структурных подразделений Администрации города Когалыма (глава города Когалыма, заместители главы города Когалыма, управление по общим вопросам, юридическое управление, специальный сектор, отдел финансово-экономического обеспечения и контроля, отдел муниципального контроля Администрации города Когалыма»</t>
  </si>
  <si>
    <t>"Управление муниципальными финансами в городе Когалыме"</t>
  </si>
  <si>
    <t>Направление «Проведение бюджетной и налоговой политики в пределах установленных полномочий, направленной на обеспечение сбалансированности, устойчивости бюджета города Когалыма, создание условий для качественной организации бюджетного процесса»</t>
  </si>
  <si>
    <t>1.1.</t>
  </si>
  <si>
    <t xml:space="preserve">Комплекс процессных мероприятий «Обеспечение деятельности органов местного самоуправления города Когалыма», в том числе:
</t>
  </si>
  <si>
    <t xml:space="preserve">Мероприятие (результат) «Обеспечена деятельность Комитета финансов Администрации города Когалыма» </t>
  </si>
  <si>
    <t xml:space="preserve"> "Управление муниципальным имуществом города Когалыма" </t>
  </si>
  <si>
    <t>Направление (подпрограмма) «Совершенствование системы управления муниципальным имуществом города Когалыма»</t>
  </si>
  <si>
    <t>Комплекс процессных мероприятий «Организация работы по формированию состава и структуры муниципального имущества города Когалыма», в том числе:</t>
  </si>
  <si>
    <t xml:space="preserve"> Мероприятие (результат) «Обеспечена деятельность комитета по управлению муниципальным имуществом Администрации города Когалыма»</t>
  </si>
  <si>
    <t>Комплекс процессных мероприятий «Обеспечение деятельности муниципальных учреждений города Когалыма», в том числе:</t>
  </si>
  <si>
    <t xml:space="preserve"> Мероприятие (результат) «Обеспечена деятельность МКУ «УОДОМС»</t>
  </si>
  <si>
    <t xml:space="preserve"> Мероприятие (результат) «Обеспечена деятельность МБУ «КСАТ»</t>
  </si>
  <si>
    <t xml:space="preserve"> Мероприятие (результат) «Обеспечена деятельность МКУ «ОЭХД»</t>
  </si>
  <si>
    <t xml:space="preserve"> Мероприятие (результат) «Обеспечена деятельность МКУ «ЦОМУ города Когалыма»</t>
  </si>
  <si>
    <t xml:space="preserve"> "Безопасность жизнедеятельности населения города Когалыма" </t>
  </si>
  <si>
    <t>Направление (подпрограмма) «Организация и обеспечение мероприятий в сфере гражданской обороны, защиты населения и территории города Когалыма от чрезвычайных ситуаций»</t>
  </si>
  <si>
    <t>Комплекс процессных мероприятий «Предупреждение и ликвидация чрезвычайных ситуаций природного и техногенного характера, а также обеспечение безопасности людей на водных объектах в городе Когалыме», в том числе:</t>
  </si>
  <si>
    <t xml:space="preserve"> Мероприятие (результат) «Обеспечена безопасность населения на водных объектах города Когалыма»</t>
  </si>
  <si>
    <t xml:space="preserve"> Мероприятие (результат) «Обеспечено снижение рисков и смягчение последствий чрезвычайных ситуаций природного и техногенного характера на территории города Когалыма»</t>
  </si>
  <si>
    <t xml:space="preserve"> Мероприятие (результат) «Обеспечена бесперебойная и устойчивая работа муниципальной автоматизированной системы централизованного оповещения населения города Когалыма»</t>
  </si>
  <si>
    <t xml:space="preserve"> Мероприятие (результат) «Организованы и проведены мероприятия, направленные на приобретение материально-технической базы для курсов гражданской обороны»</t>
  </si>
  <si>
    <t xml:space="preserve"> Мероприятие (результат) «Организована противопожарная пропаганда и проведено обучение мерам пожарной безопасности населения города Когалыма»</t>
  </si>
  <si>
    <r>
      <rPr>
        <b/>
        <sz val="12"/>
        <rFont val="Times New Roman"/>
        <family val="1"/>
        <charset val="204"/>
      </rPr>
      <t>Комплекс процессных мероприятий «Обеспечение деятельности органов местного самоуправления города Когалыма»</t>
    </r>
    <r>
      <rPr>
        <b/>
        <sz val="12"/>
        <color rgb="FFFF0000"/>
        <rFont val="Times New Roman"/>
        <family val="1"/>
        <charset val="204"/>
      </rPr>
      <t xml:space="preserve"> </t>
    </r>
    <r>
      <rPr>
        <b/>
        <sz val="12"/>
        <rFont val="Times New Roman"/>
        <family val="1"/>
        <charset val="204"/>
      </rPr>
      <t>/ Мероприятие (результат) «Обеспечена деятельность отдела по делам ГО и ЧС Администрации города Когалыма»</t>
    </r>
  </si>
  <si>
    <t>Комплекс процессных мероприятий «Обеспечение деятельности муниципальных казенных учреждений города Когалыма» / Мероприятие (результат) «Обеспечена уставная деятельность МКУ «ЕДДС города Когалыма»</t>
  </si>
  <si>
    <t xml:space="preserve"> "Укрепление межнационального и межконфессионального согласия, профилактика экстремизма и терроризма в городе Когалыме" </t>
  </si>
  <si>
    <t>Направление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города Когалыма, обеспечение социальной и культурной адаптации мигрантов, профилактика межнациональных (межэтнических) конфликтов»</t>
  </si>
  <si>
    <t>Комплекс процессных мероприятий «Укрепление единства российской нации, формирование общероссийской гражданской идентичности, этнокультурное развитие народов России», в том числе:</t>
  </si>
  <si>
    <t xml:space="preserve">Мероприятие (результат) «Оказана поддержка и содействие некоммерческим организациям, религиозным и общественным организациям по вопросам укрепления межнационального и межконфессионального согласия, в том числе и для реализации  проектов , обеспечения социальной и культурной адаптации иностранных граждан и их детей, профилактики экстремизма и терроризма на территории города Когалыма» </t>
  </si>
  <si>
    <t>Мероприятие (результат) «Реализованы меры, направленные на социальную и культурную адаптацию иностранных граждан, в том числе оказано содействие в толерантном воспитании, мультикультурном образовании и социокультурной адаптации детей, в том числе детей иностранных граждан, усовершенствованы меры, обеспечивающие уважительное отношение к культуре и традициям принимающего сообщества и уважительное отношение ко всем национальностям, этносам и религиям»</t>
  </si>
  <si>
    <t>Мероприятие (результат) «Реализованы мероприятия, направленные на укрепление общероссийской гражданской идентичности. Содействие этнокультурному и духовному развитию народов России»</t>
  </si>
  <si>
    <t>Направление «Участие в профилактике экстремизма и терроризма, а также в минимизации и (или) ликвидации последствий проявлений экстремизма и терроризма на территории города Когалыма»</t>
  </si>
  <si>
    <t>Комплекс процессных мероприятий «Организация и проведение профилактических мер по профилактике экстремизма и терроризма в  подведомственных учреждениях и освещение в средствах массовой информации информационных поводов, направленных на укрепление общероссийского гражданского единства и гармонизацию межнациональных отношений», в том числе:</t>
  </si>
  <si>
    <t>Мероприятие (результат) «Организованы мероприятия по профилактике экстремизма и терроризма»</t>
  </si>
  <si>
    <t>Мероприятие (результат) «Проведены информационные кампании, направленные на укрепление общероссийского гражданского единства и гармонизацию межнациональных отношений, профилактику экстремизма и терроризма»</t>
  </si>
  <si>
    <t>Мероприятие (результат) «Организован мониторинг экстремистских настроений в молодежной среде»</t>
  </si>
  <si>
    <t>Направление «Усиление антитеррористической защищенности объектов, находящихся в муниципальной собственности»</t>
  </si>
  <si>
    <t>Комплекс процессных мероприятий «Контроль за соблюдением условий антитеррористической безопасности мест массового пребывания людей, совершенствование антитеррористической защищенности объектов, находящихся в ведении муниципального образования», в том числе:</t>
  </si>
  <si>
    <t>Мероприятие (результат) «Организовано повышение уровня антитеррористической защищенности объектов, находящихся в муниципальной собственности»</t>
  </si>
  <si>
    <t xml:space="preserve"> "Содействие занятости населения города Когалыма" </t>
  </si>
  <si>
    <t>Направление (подпрограмма) «Содействие трудоустройству граждан»</t>
  </si>
  <si>
    <t>Комплекс процессных мероприятий «Содействие трудоустройству граждан, в том числе граждан с инвалидностью», в том числе:</t>
  </si>
  <si>
    <t>1. Оказано содействие в организации оплачиваемых общественных работ для не занятых трудовой деятельностью и безработных граждан</t>
  </si>
  <si>
    <t>2. Организовано временное трудоустройство несовершеннолетних граждан в возрасте от 14 до 18 лет в свободное от учёбы время</t>
  </si>
  <si>
    <t>3. Организовано временное трудоустройство несовершеннолетних граждан в возрасте от 14 до 18 лет в течение учебного года</t>
  </si>
  <si>
    <t>4. Привлечены прочие специалисты для организации работ трудовых бригад несовершеннолетних граждан</t>
  </si>
  <si>
    <t>5. Организовано трудоустройство незанятых инвалидов трудоспособного возраста, в том числе инвалидов молодого возраста, на оборудованные (оснащённые) рабочие места в муниципальные учреждения города Когалыма</t>
  </si>
  <si>
    <t>Направление (подпрограмма) «Улучшение условий и охраны труда в городе Когалыме»</t>
  </si>
  <si>
    <t>Комплекс процессных мероприятий «Безопасный труд» всего, в том числе</t>
  </si>
  <si>
    <t>Осуществление отдельных государственных полномочий в сфере трудовых отношений и государственного управления охраной труда в городе Когалыме (субвенции)</t>
  </si>
  <si>
    <t>Организованы смотры – конкурсы по охране труда</t>
  </si>
  <si>
    <t xml:space="preserve"> "Профилактика правонарушений и обеспечение отдельных прав граждан в городе Когалыме" </t>
  </si>
  <si>
    <t>Направление (подпрограмма) «Профилактика правонарушений»</t>
  </si>
  <si>
    <t>Комплекс процессных мероприятий «Создание условий для деятельности  народных дружин» / Мероприятие (результат) «Обеспечена деятельность  народных дружин»</t>
  </si>
  <si>
    <t xml:space="preserve"> 1.2.</t>
  </si>
  <si>
    <t>Комплекс процессных мероприятий «Обеспечение функционирования и развития систем видеонаблюдения в сфере общественного порядка» / Мероприятие (результат) «Обеспечено функционирование и развитие систем видеонаблюдения в сфере общественного порядка»</t>
  </si>
  <si>
    <t>1.3.</t>
  </si>
  <si>
    <t>Комплекс процессных мероприятий «Реализация отдельных государственных полномочий, предусмотренных Законом Ханты - Мансийского автономного округа - Югры от 02.03. 2009 №5 - оз «Об административных комиссиях в Ханты - Мансийском автономном округе – Югре» / Мероприятие (результат) «Обеспечена деятельность Административной комиссии»</t>
  </si>
  <si>
    <t>1.4.</t>
  </si>
  <si>
    <t>Комплекс процессных мероприятий «Осуществление государственных полномочий по составлению (изменению и дополнению) списков кандидатов в присяжные заседатели федеральных судов общей юрисдикции» / Мероприятие (результат) «Осуществлены государственные полномочия по составлению (изменению и дополнению) списков кандидатов в присяжные заседатели федеральных судов общей юрисдикции»</t>
  </si>
  <si>
    <t>1.5.</t>
  </si>
  <si>
    <t>Комплекс процессных мероприятий «Информационное обеспечение профилактической работы, осуществление работы по организации  правового просвещения граждан, формирование у населения правового сознания,  уважения к закону» / Мероприятие (результат) «Обеспечено проведение  информационной профилактической работы по правовому просвещению граждан, с целью  формирования  у населения правового сознания и уважения к закону»</t>
  </si>
  <si>
    <t>1.6.</t>
  </si>
  <si>
    <t>Комплекс процессных мероприятий «Организация и проведение профилактических мероприятий в сфере безопасности дорожного движения» / Мероприятие (результат) «Организованы мероприятия в сфере профилактики безопасности дорожного движения»</t>
  </si>
  <si>
    <t>Направление  (подпрограмма) «Профилактика правонарушений незаконного оборота и потребления наркотических средств и психотропных веществ, наркомании»</t>
  </si>
  <si>
    <t>Комплекс процессных мероприятий «Организация и проведение мероприятий с субъектами профилактики, в том числе с участием общественности» / Мероприятие (результат) «Обеспечено проведение мероприятий с субъектами профилактики, в том числе с участием общественности»</t>
  </si>
  <si>
    <t>Комплекс процессных мероприятий «Проведение информационной антинаркотической пропаганды» / Мероприятие (результат)  «Произведена трансляция в средствах массовой информации антинаркотической рекламы»</t>
  </si>
  <si>
    <t>2.3.</t>
  </si>
  <si>
    <t>Комплекс процессных мероприятий «Формирование негативного отношения к незаконному обороту и потреблению наркотикове» / Мероприятие (результат) «Сформировано негативное отношение к незаконному обороту и потреблению наркотиков»</t>
  </si>
  <si>
    <t>2.4.</t>
  </si>
  <si>
    <t>Комплекс процессных мероприятий «Исполнение отдельных государственных полномочий по делам несовершеннолетних и защите их прав муниципальной комиссией по делам несовершеннолетних и защите их прав при Администрации города Когалыма»/ Мероприятие (результат) «Обеспечена деятельность отдела  по делам несовершеннолетних и защите их прав муниципальной комиссией по делам несовершеннолетних и защите их прав при Администрации города Когалыма»</t>
  </si>
  <si>
    <t>Комплекс процессных мероприятий «Обеспечение деятельности органов местного самоуправления города Когалыма» / Мероприятие  (результат) «Обеспечена деятельность отдела межведомственного взаимодействия в сфере обеспечения общественного порядка и безопасности Администрации города Когалыма»</t>
  </si>
  <si>
    <t xml:space="preserve"> "Развитие образования в городе Когалыме" </t>
  </si>
  <si>
    <t>Направление (подпрограмма) «Общее образование»</t>
  </si>
  <si>
    <t>Региональный проект «Создание условий для обучения, отдыха и оздоровления детей и молодежи» / Создана средняя общеобразовательная школа в г. Когалыме (Общеобразовательная организация с
универсальной безбарьерной средой)» (корректировка, привязка проекта «Средняя общеобразовательная
школа в микрорайоне 32 г. Сургута» шифр 1541-ПИ.00.32</t>
  </si>
  <si>
    <t>Региональный проект «Педагоги и наставники»всего, в том числе:</t>
  </si>
  <si>
    <t xml:space="preserve">1.1 Проведены мероприятия по обеспечению деятельности советников директора по воспитанию и взаимодействию с детскими общественными объединениями в образовательных организациях: </t>
  </si>
  <si>
    <t xml:space="preserve">2.1. Обеспечены выплаты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t>
  </si>
  <si>
    <t>2.2 Обеспечены выплаты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муниципальных общеобразовательных организаций и профессиональных образовательных организаций</t>
  </si>
  <si>
    <t>Комплекс процессных мероприятий «Содействие развитию дошкольного и общего образования», в том числе:</t>
  </si>
  <si>
    <t xml:space="preserve">1.1 Внедрение обновленного содержания дошкольного, основного общего и среднего общего
образования, новых методов обучения, обеспечивающих повышение качества дошкольного,
основного общего и среднего общего образования всего, в том числе:
</t>
  </si>
  <si>
    <t xml:space="preserve">1.1./1.1.1 Осуществление деятельности автономных учреждений подведомственных управлению образования Администрации города Когалыма </t>
  </si>
  <si>
    <t xml:space="preserve">1.1./.1.1.2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t>
  </si>
  <si>
    <t xml:space="preserve">1.1./.1.1.3    Предоставление компенсации части родительской платы, компенсации расходов в связи с освобождением от взимания родительской платы  за присмотр и уход за детьми в организациях, осуществляющих образовательную деятельность по реализации образовательной программы
дошкольного образования </t>
  </si>
  <si>
    <t xml:space="preserve">1.1./1.1.4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t>
  </si>
  <si>
    <t xml:space="preserve">1.1./.1.1.5  Предоставление субсидии частным организациям осуществляющим образовательную деятельность по реализации образовательных программ дошкольного образования, расположенных на территории города Когалыма </t>
  </si>
  <si>
    <t>1.1./1.1.6 Оснащение объектов капитального строительства, реконструкции, объектов недвижимого имущества для размещения образовательных организаций средствами обучения и воспитания, необходимыми для реализации образовательных программ, соответствующими современным условиям обучения</t>
  </si>
  <si>
    <t>1.2. Поддержка педагогических работников, всего, в том числе:</t>
  </si>
  <si>
    <t>1.2./ 1.2.1.Стимулирование роста профессионального мастерства, создание условий для выявления и поддержки педагогических работников,  проявляющих творческую инициативу, в том числе для специалистов некоммерческих организаций</t>
  </si>
  <si>
    <t xml:space="preserve">1.3. Обеспечение обучающихся, получающих образование в муниципальных образовательных организациях горячим питанием </t>
  </si>
  <si>
    <t>Направление (подпрограмма) «Организация дополнительного образования, воспитания, отдыха и оздоровления детей»</t>
  </si>
  <si>
    <t>Комплекс процессных мероприятий «Содействие развитию летнего отдыха и оздоровления»  всего, в том числе</t>
  </si>
  <si>
    <t>2.1./2.1.1.     Обеспечение отдыха и оздоровления детей / Организация деятельности лагерей с дневным пребыванием детей, лагерей труда и отдыха на базах муниципальных учреждений и организаций. Организация отдыха и оздоровления детей в санаторно-оздоровительных учреждениях. Организация
отдыха и оздоровления детей в загородных стационарных детских оздоровительных лагерях. Организация пеших походов и экспедиций. Участие в практических обучающих семинарах по подготовке и повышению квалификации педагогических кадров</t>
  </si>
  <si>
    <t xml:space="preserve"> 2.2.</t>
  </si>
  <si>
    <t>Комплекс процессных мероприятий «Содействие развитию дополнительного образования детей, воспитания», в том числе:</t>
  </si>
  <si>
    <t>3.1.1.   Развитие системы выявления, поддержки, сопровождения и стимулирования одаренных детей в различных сферах деятельности</t>
  </si>
  <si>
    <t xml:space="preserve">3.1.2.      Реализация мероприятий профориентационной направленности, в том числе в рамках сотрудничества с Пермским научно-исследовательским политехническим университетом </t>
  </si>
  <si>
    <t xml:space="preserve">3.1.3.     Развитие системы доступного дополнительного образования в соответствии с индивидуальными запросами населения </t>
  </si>
  <si>
    <t>3.1.4.     Персонифицированное финансирование дополнительного образования детей</t>
  </si>
  <si>
    <t>3.1.5.     Поддержка немуниципальных организаций (коммерческих,
некоммерческих), осуществляющих деятельность в сфере образования</t>
  </si>
  <si>
    <t xml:space="preserve"> 3.1. </t>
  </si>
  <si>
    <t>Комплекс процессных мероприятий «Комплексная безопасность образовательных организаций, подведомственных Управлению образования» / Создание современных условий для организации безопасного
образовательного процесса всего, в том числе:</t>
  </si>
  <si>
    <t>4.1.1.   Обеспечение комплексной безопасности и комфортных условий
образовательной деятельности в учреждениях и организациях
общего и дополнительного образования</t>
  </si>
  <si>
    <t>4.1.2.    Капитальный ремонт МАДОУ "Цветик- семицветик" и МАДОУ
"Колокольчик" в городе Когалыме</t>
  </si>
  <si>
    <t>Направление (подпрограмма) «Ресурсное обеспечение в сфере образования»</t>
  </si>
  <si>
    <t xml:space="preserve"> 4.1. </t>
  </si>
  <si>
    <t>«Обеспечение деятельности органов местного самоуправления города Когалыма» / Обеспечение  осуществления полномочий и функций Управления образования Администрации города Когалыма , в том числе:</t>
  </si>
  <si>
    <t xml:space="preserve">5.1.1.   Финансовое и организационно-методическое сопровождение по исполнению бюджетными, автономными образовательными организациями муниципального задания на оказание муниципальных услуг (выполнение работ) </t>
  </si>
  <si>
    <t>5.1.2.     Проведение мероприятий аппаратом управления</t>
  </si>
  <si>
    <t xml:space="preserve"> "Развитие физической культуры и спорта
в городе Когалыме" </t>
  </si>
  <si>
    <t>Направление «Модернизация и развитие учреждений и организаций культуры»</t>
  </si>
  <si>
    <t>Комплекс процессных мероприятий «Развитие физической культуры, массового и детско-юношеского спорта», в том числе:</t>
  </si>
  <si>
    <t>внебюджетные источники финансирования</t>
  </si>
  <si>
    <t>1.1.1.</t>
  </si>
  <si>
    <t>Мероприятие (результат) "Реализованы мероприятия по развитию физической культуры и спорта", в том чисе:</t>
  </si>
  <si>
    <t>1.2.1.</t>
  </si>
  <si>
    <t>Мероприятие (результат) «Оказана поддержка некоммерческих организаций, реализующих проекты в сфере массовой физической культуры»</t>
  </si>
  <si>
    <t>Направление «Развитие спорта высших достижений и системы подготовки спортивного резерва»</t>
  </si>
  <si>
    <t>Комплекс процессных мероприятий «Развитие спорта высших достижений и системы подготовки спортивного резерва»</t>
  </si>
  <si>
    <t>2.1.1.</t>
  </si>
  <si>
    <t>2.1.2.</t>
  </si>
  <si>
    <t>Мероприятие (результат) «Обеспечена подготовка спортивного резерва и сборных команд города Когалыма по видам спорта»</t>
  </si>
  <si>
    <t>Направление «Укрепление общественного здоровья»</t>
  </si>
  <si>
    <t>Комплекс процессных мероприятий «Укрепление общественного здоровья», в том числе / Мероприятие (результат) «Организованы и проведены физкультурно-оздоровительные мероприятия»</t>
  </si>
  <si>
    <t>4.</t>
  </si>
  <si>
    <t>Структурные элементы, не входящие в направление (подпрограммы)</t>
  </si>
  <si>
    <t>4.1.</t>
  </si>
  <si>
    <t xml:space="preserve">Комплекс процессных мероприятий «Обеспечение деятельности органов местного самоуправления города Когалыма» / Мероприятие (результат) «Обеспечено функционирование управления культуры и спорта Администрации города Когалыма» </t>
  </si>
  <si>
    <t>Мероприятие (результат) «Организовано участие спортсменов города Когалыма в соревнованиях различного уровня окружного и всероссийского масштаба»</t>
  </si>
  <si>
    <t>1.1.1. Организация и проведение спортивно-массовых мероприятий</t>
  </si>
  <si>
    <t>1.1.2. Содержание МАУ ДО «СШ «Дворец спорта»</t>
  </si>
  <si>
    <t>1.1.3.Проведение мероприятий по внедрению Всероссийского физкультурно-спортивного комплекса "Готов к труду и обороне"</t>
  </si>
  <si>
    <t>1.1.4. Организация работы по присвоению спортивных разрядов, квалификационных категорий</t>
  </si>
  <si>
    <t>1.1.5. Развитие материально-технической базы МАУ ДО «СШ «Дворец спорта»</t>
  </si>
  <si>
    <t>1.1.6. Организация полезного и содержательного досуга на дворовых игровых площадках и (или) на плоскостных спортивных сооружениях в летний период для детей, подростков и молодёжи, совершенствование условий для развития массовых видов спорта</t>
  </si>
  <si>
    <t xml:space="preserve"> "Развитие гражданского общества города Когалыма»" </t>
  </si>
  <si>
    <t>Поддержка социально ориентированных некоммерческих организаций города Когалыма и создание условий для самоорганизации граждан по осуществлению собственных инициатив</t>
  </si>
  <si>
    <t>Комплекс процессных мероприятий «Обеспечение поддержки гражданских инициатив», в том числе:</t>
  </si>
  <si>
    <t>1.  Организован и проведен конкурс социально значимых проектов среди социально ориентированных
некоммерческих организаций города Когалыма</t>
  </si>
  <si>
    <t>2.     Организован и проведен конкурс на предоставление субсидии некоммерческой организации, не являющейся государственным (муниципальным) учреждением, в целях финансового обеспечения затрат на выполнение функций ресурсного центра поддержки НКО</t>
  </si>
  <si>
    <t>3.    Организован и проведен отбор на предоставление субсидий ТОС города Когалыма на осуществление собственных инициатив по вопросам местного значения</t>
  </si>
  <si>
    <t>Поддержка граждан, внесших значительный вклад в развитие гражданского общества</t>
  </si>
  <si>
    <t>Комплекс процессных мероприятий «Поддержка граждан, внесших значительный вклад в развитие гражданского общества» / Оказана поддержка гражданам, удостоенным звания «Почётный гражданин города Когалыма»</t>
  </si>
  <si>
    <t>Информационная открытость деятельности Администрации города Когалыма</t>
  </si>
  <si>
    <t>Комплекс процессных мероприятий «Обеспечение открытости деятельности органов местного
самоуправления и освещение деятельности в телевизионных эфирах»</t>
  </si>
  <si>
    <t>Молодежь города Когалыма</t>
  </si>
  <si>
    <t xml:space="preserve"> 4.1.</t>
  </si>
  <si>
    <t xml:space="preserve">Комплекс процессных мероприятий «Молодёжь города Когалыма» всего,
в том числе
</t>
  </si>
  <si>
    <t>1    Создание условий для развития духовно-нравственных и гражданско-патриотических качеств детей и молодёжи</t>
  </si>
  <si>
    <t xml:space="preserve"> 2.    Создание условий для разностороннего развития, самореализации и роста созидательной активности молодёж», (всего), в том числе: </t>
  </si>
  <si>
    <t xml:space="preserve"> 2. / 2.1    Организованы и проведены мероприятия, проекты, направленные на разностороннее развитие, самореализацию и рост созидательной
активности молодёжи</t>
  </si>
  <si>
    <t>2 ./  2.2   Организован и проведен конкурс молодёжных инициатив города Когалыма</t>
  </si>
  <si>
    <t>2 / 2.3    Организованы и проведены мероприятия, проекты по вовлечению молодёжи в добровольческую деятельность</t>
  </si>
  <si>
    <t>2 / 2.4    Предоставлена субсидия некоммерческим организациям, не являющимся государственными (муниципальными), на выполнение функций ресурсного центра поддержки и развития добровольчества в городе Когалыме</t>
  </si>
  <si>
    <t xml:space="preserve"> 3.     Обеспечение деятельности учреждения сферы работы с молодёжью и развитие его материально-технической базы </t>
  </si>
  <si>
    <t xml:space="preserve"> 4.    Реализация мероприятий в целях организации досуга детей, подростков и молодёжи (всего), в том числ:</t>
  </si>
  <si>
    <t>4. / 4.1    Реализованы мероприятия в целях организации досуга детей, подростков и молодёжи</t>
  </si>
  <si>
    <t>4 ./  4.2   Предоставлена субсидия в связи с выполнением муниципальной работы «Организация досуга детей, подростков и молодёжи»</t>
  </si>
  <si>
    <t xml:space="preserve">  5.2.</t>
  </si>
  <si>
    <t>1 Обеспечено функционирование СпоСВ</t>
  </si>
  <si>
    <t xml:space="preserve">2 Обеспечено функционирование сектора пресс-службы </t>
  </si>
  <si>
    <t>3 Обеспечено функционирование УВП</t>
  </si>
  <si>
    <t>Расхождение плановых и фактических покахателей в сумме 732,807 связано с возвратом получателем части финансовых средств субсидии в бюджет города Когалдыма  (платежное поручение №19 от 30.01.2025)</t>
  </si>
  <si>
    <t>1. Контракт № 86 от 28.10.2024 на выполнение работ по капитальному ремонту здания, находящегося в муниципальной собственности: помещений "Административно-бытовой комплекс", расположенного по адресу: город Когалым улица Бакинская, дом 2.
- цена контракта: 21 821,50 тыс.руб (по условиям контракта  выплачен аванс в размере 30%)
- сроки выполнения работ: 31.03.2025 года.
2. Муниципальный контракт № 0187300013724000249 от 02.11.2024 Выполнение работ по капитальному ремонту здания, находящегося в муниципальной собственности: "Административно-бытовой комплекс", расположенного по адресу: город Когалым, улица Бакинская, дом 2;
- цена контракта: 7 484,45 тыс.руб.
- сроки выполнения работ 31.03.2025г.
3. Муниципальный контракт № 0187300013724000286 от13.12.2024 на выполнение работ по капитальному ремонту здания, находящегося в муниципальной собственности: "Административно-бытовой комплекс", расположенного по адресу: город Когалым, улица Бакинская, дом 2;
- цена контракта: 2137,54 тыс.руб.
- сроки выполнения работ 30.04.2025г.
4. Муниципальный контракт № 119/2024 от 13.12.2024 на выполнение работ по капитальному ремонту здания, находящегося в муниципальной собственности: "Административно-бытовой комплекс", расположенного по адресу: город Когалым, улица Бакинская, дом 2;
- цена контракта: 378,01 тыс.руб.
- сроки выполнения работ 31.03.2025г.
Муниципальный контракт № 0187300013724000278 от 26.11.2024 на выполнение работ по ремонту помещений на 3-м этаже в здании, расположенном по адресу: город Когалым, улица Дружбы Народов, дом 41;
- цена контракта: 3 179,08 тыс.руб.
- сроки выподнения работ: 31.03.2025.
1. Муниципальный контракт № 0187300013725000002 от 17.02.2025 на выполнение работ по частичному ремонту кровли здания Администрации города Когалыма, расположенного по адресу: город Когалым, улица Дружбы Народов, дом 7;
- цена контракта: 3 467,41 тыс.руб.;
- сроки выполнения работ: 30.09.2025г.
2. Опубликован электронный аукцион, на выполнение работ по частичному ремонту кровли здания Администрации города Когалыма, расположенного по адресу: город Когалым, улица Дружбы Народов, дом 7 на сумму 7 459,96 тыс.руб.
Дата подведения итогов: 11.03.2025 г.
Опубликован электронный аукцион, на выполнение работ по замене оконных блоков в здании Администрации города Когалыма, расположенном по адресу: город Когалым, улица Дружбы Народов дом 7  на сумму 9 252,26 тыс.руб.
Дата подписания контракта: 03.03.2025 г.
1. Муниципальный контракт №0187300013724000031 от 29.03.2024 на выполнение работ по разработке проектно-сметной документации для выполнения капитального ремонта здания МАУ «Молодёжный комплексный центр «Феникс» в городе Когалыме», расположенного по улице Сибирская, 11:
- цена контракта 2 791,29 тыс.руб.;
- срок завершения работ 29.11.2024 г.;
Опубликован электронный аукцион, на выполнение работ по ремонту жилого помещения, находящегося в муниципальной собственности, расположенном по адресу: город Когалым, проезд Обской, дом 13, квартира 3  на сумму 1 880,22 тыс.руб.
Дата подведения итогов: 13.03.2025 г.
Выделение ПА от 27.02.2025 Приказом  Комитета финансов Администрации города № 18-О.</t>
  </si>
  <si>
    <t xml:space="preserve"> Мероприятие (результат) «Обеспечено функционирование управления экономики Администрации города
Когалыма»</t>
  </si>
  <si>
    <t>Экономия средств в связи с наличием вакансий, больничных листов</t>
  </si>
  <si>
    <t>Остаток плана на 01.03.2025г. составляет 2233,93 тыс.руб., в том числе:                                                                                                                                                                                                                                                                                                                          1) 1108,68 тыс.руб. - оплата труда гражданского персонала и начисления на них (выплата премии по итогам работы за 2024 год за фактически отработанное время, наличие вакансий), оплата листа по временной нетрудоспособности за счет работодателя за первые три дня по факту);
2) 74,63 тыс.руб. - в связи с фактическими расходами на услуги связи;
3) 760,04 тыс.руб. -  в связи с фактическими расходами на оплату коммунальных услуг согласно показаниям приборов учета;
4) 192,93 тыс.руб. - в в связи с фактическими расходами (замена расходных материалов) на оплату услуг: сан-тех.обслуж-ию оборудования и инженерных сетей зданий; ТО и ТР систем вентиляции и кондиционирования воздуха, лифтового оборудования, выполнение работ по ТО и ТР оборудования средств пожарной безопасности зданий, водных диспенсеров;
5) 81,67 тыс. руб. - по факту начисления налога на имущество;
6) 15,98 тыс.руб. - оплата товара в марте 2025 г.(по факту поставки товаров).</t>
  </si>
  <si>
    <t>1.2/ 1.2.4.Поддержка студентов педагогических вузов</t>
  </si>
  <si>
    <t>Отклонение сложилось за февраль в результате оплаты электрической энергии согласно показанию счетчиков по факту.</t>
  </si>
  <si>
    <t xml:space="preserve">Конкурс социально значимых проектов среди социально ориентированных некоммерческих организаций города Когалымазапланирован к ппорваедению в 4  квартале 2025 года </t>
  </si>
  <si>
    <t>В отчетном периоде конкурс не проводился</t>
  </si>
  <si>
    <t>КУМИ</t>
  </si>
  <si>
    <t>ОАиГ</t>
  </si>
  <si>
    <r>
      <t xml:space="preserve">В целях финансового обеспечения затрат на выполнение функций ресурсного центра поддержки НКО в 2025 году из бюджета города Когалыма направлена субсидия  АНО «Ресурсный центр поддержки НКО города Когалыма» . Субсидия предоставлена АНО «Ресурсный центр поддержки НКО города Когалыма» в соответствии с Порядком предоставления из бюджета города Когалыма субсидий некоммерческим организациям, не являющимся государственными (муниципальными) учреждениями, в целях финансового обеспечения затрат на выполнение функций ресурсного центра поддержки некоммерческих организаций в городе Когалыме», утвержденным постановлением Администрации города Когалыма от 29.11.2021 №2458. 
             В штате ресурсного центра 5 человек, из них : 2- основных сотрудника (директор и менеджер), 3 - внешних сотрудника – бухгалтер и два специалиста по развитию СО НКО. У трех членов команды опыт в сфере поддержки некоммерческих организаций более трех лет.
          Ресурсный центр функционирует на базе  "Дома Дружбы" (по адресу пр. Нефтяников 2а), который оснащен всей необходимой мебелью и офисной техникой для полноценной работы и оказания услуг. Предоставляются кабинеты, оборудована коворгинг-зона  для проведения мероприятий.                                                                                                                                                                                                                                          1)   Консультации для НКО по вопросам реализации проектов и участия в мероприятиях в сфере межнациональных (межэтнических) отношений, профилактики экстремизма: январь -71 консультация; Февраль :   22 очных, 35 по телефо-ну, 38 . ИТОГО: 95; Март:  – 19 очных, 31 по телефону, 29 – электронная почта и мессенджеры. ИТОГО за истекший перрод всего 245 консултьаций (71+95+79)  Февраль -поведен обучающий семинар на стартовавшие грантовые конкурсы 2025г – Президентский фонд культурных инициатив и Грант Губернатора Югры для физических лиц. Ведутся консультации учебных заведений, НКО и физических лиц.                                                                                                                                                                                                                                                                                                                        Поданы 4 заявки на ПФКИ , 5 проектов на спец.конкурс, посвященный 80-я Победы, 6 проектов на ГГ для ФЛ. 18.03.2024 Были подведены итоги  специального конкурса на грант Губернатора Югры для СО НКО к 80-летию Великой Победы.  </t>
    </r>
    <r>
      <rPr>
        <b/>
        <sz val="12"/>
        <rFont val="Times New Roman"/>
        <family val="1"/>
        <charset val="204"/>
      </rPr>
      <t>Победителями признаны   АНО «ЕРМАК» и АНО «Камертон».</t>
    </r>
    <r>
      <rPr>
        <sz val="12"/>
        <rFont val="Times New Roman"/>
        <family val="1"/>
        <charset val="204"/>
      </rPr>
      <t xml:space="preserve">
2) мероприятия:                                                                                                                                                                                                                                                                                                                                                                           - 04.02.2025  специалисты ресурсного центра провели обучающий семинар в ПНИПУ для студентов по конкурсу Гранта Губернатора Югры для физических лиц;
- 15.02.2025 специалисты ресурсного центра приняли участие в творческом вечере «Хуторок казачьи мотивы», организованные АНО «ЕРМАК» и «Криница»;
- 14.02.2025 специалисты ресурсного центра приняли участие в 34 заседании Думы города Когалыма в ходе которого был предстпавлен отчёт о результатах деятельности главы города и Администрация города Когалыма  за 2024 год;
- 21.02.2024 Специалисты РЦ провели выездное мероприятие в г.Лангепасе;
- 26.02.2025 Специалисты РЦ провели выездное мероприятие в г. Нефтеюганске;- 25.02.2025 Специалисты РЦ провели школу актива «изменения в поря-док сдачи отчетности в Минюст некоммерческими организациями»;
- 11.03.2025 состоялось традиционное рабочее заседание - круглый стол "Общество.Религия.Власть." ;
- 25.03.2025 специалистами ресурсного центра  организован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Проект-победитель Гранта Губернатора Югры. Форум прошел в МЦ "Метро";                                                                                          3) Урок вежливости» для мигрантов прошел 21.03. Даны разъяснения по личному запросу от лидеров национально-культурных объединений города Когалыма;
4)За отчетный период (февраль)  проведено 1 индивидуальное и 1 групповое заня-тие по РКИ (русский как иностранный) для взрослых. За отчетный пе-риод проведено 16 обучающих занятий по РКИ (русский как ино-странный) для групп детей-школьников.  За отчетный период (март) проведено 2 индивидуальных и 1 групповое занятие по РКИ (русский как иностранный) для взрослых. За отчетный период проведено 14 обучающих занятий по РКИ (русский как иностранный) для групп детей-школьников. В феврале В феврале проведено 9 индивидуальных занятий с детьми - иностранными гражданами, проживающими в городе Когалым.В мартегода было проведено 15 индивидуальных занятий с детьми - иностранными гражданами, проживающими в городе Когалым. Занятия проходят на базе АНО «РЦ НКО Когалыма.  Индивидуальные занятия проходят по скользящему графику; 
5) Всего в отчетном периоде была размещена 15 публикаций на различных площадках.Все ссылки на посты в социальных сетях РЦ и на официальном сайте: https://vk.com/public203821726
6) реализация проекта "ШКола актива НКО":                                                                                                                                                                                                                                                                                                                                 - 16.01.2025 и 25.02.2025 с привлечением специалистов  проектного офиса ПФКИ г.Ханты-Мансийска «Школа актива НКО» ;     
 7) организация проведения, участия во всероссийских (региональных, муниципальных) акциях (проектах, мероприятиях) для некоммерческих организаций: специалисты РЦ совместно с целевой группой (обучающиеся вечерней группы РКИ) и лидеры национально-культурных объединений приняли участие в Акциях: «История НКО».
</t>
    </r>
  </si>
  <si>
    <t>1.Муниципальный контракт № 0387300043825000001 от 18.02.2025 на выполнение работ по устройству этнических сооружений на объекте благоустройства «Этностойбище коренных народов ХМАО-Югры «Вонт-Корт» (лесное стойбище) в г. Когалыме»
- цена контракта 990,0 тыс. руб. 
- сроки выполнения работ: 31.03.2025 год.
2. Размещен эектронный запрос котировок на выполнение работ по устройству этнических сооружений на объекте благоустройства «Этностойбище коренных народов ХМАО-Югры «Вонт-Корт» (лесное стойбище) в г. Когалыме» . Контракт на стадии подписания сторонами.</t>
  </si>
  <si>
    <t>1.1./.1.1.12  Организованы и проведены мероприятия, приуроченные к юбилейным датам города Когалыма всего, в том числе:</t>
  </si>
  <si>
    <t xml:space="preserve">В соответсвии с Порядком предоставления из бюджета города Когалыма субсидий немуниципальным организациям (коммерческим, некоммерческим) в целях финансового обеспечения затрат в связи с выполнением муниципальной работы "Организация досуга детей, подростков и молодёжи" (содержание - иная досуговая деятельность) утв. Постановлением Администрации города Когалыма от 31.05.2021 №1146 (запланировано на май)
</t>
  </si>
  <si>
    <t xml:space="preserve">По комплексу процессных мероприятий всего запланировано на год:  - 18765,60  тыс.руб.  (ТРК ИНфосервис -1926,60 тыс.руб и МКУ "Когалымский вестник"- 16839,00 тыс.руб. )                                                                                                    Освещение деятельности структурных подразделений в телевизионных эфирах и обеспечение деятельности МКУ редакция газеты "Когалымский вестник":                                                                                                                                           январь : расход ТК "Инфосервис"  -335,175 (факт); газета КВ -1420,30 (план)/349,40 (факт).   февраль: расход ТК  Инфосервис - 144,68, расход  газета КВ- 1485,90; март:  расход ТК Инфосервис -144,68, газета КВ -1276,30.                                                                                                                                                                                                                                                                                                                                                                                Экономия средств в сумме 789,69 тыс.руб  образовалась в связи с тем, что оплата расходов по договорам ГПХ на выплату гонорара авторам произведена на основании фактически выполненного объема работ. Экономия сложилась в силу недостаточного количества социально-значимых тем и мероприятий, прошедших в данном периоде и требующих обязательного освещения в прессе и привлечения автора со стороны.Остаток денежных средств образовался по следующим причинам:                                                                                                                                                                                                              1) работы сотрудников в режиме неполного рабочего времени (режим неполного рабочего времени, внешнее совместительство);                                                                                                                                                                                                                                                                                                                                                                                    2) выплаты ежеквартальной премии                                                                                                                                                                                                                                                                                                                                                                                                                                                                          Остаток денежных средств образовался в связи с тем, что оплата расходов произведена на основании выставленных счетов-фактур.                                                                                                                                                                                                                                                                                                                                                                                                                                                                                                                                   </t>
  </si>
  <si>
    <t>1. На отчетную дату ведется исполнение муниципального контракта №0187200001721001483 от 14.10.2021 (эл/а) заключенного с Обществом с ограниченной ответственностью "СИБВИТОСЕРВИС" город Сургут на выполнение проектно-изыскательских и строительно-монтажных работ по объекту, из них:
1.1. Сроки выполнения работ:
- 1 этап ПИР – с даты заключения контракта по 31.08.2023 (на отчетную дату этап завершен); 
- 2 этап СМР – с 01.09.2023 по 10.12.2025, из них:
- охранно-спасательные археологические работы, строительно-монтажные работы, пусконаладочные работы и поставка и монтаж оборудования с 01.09.2022 по 01.12.2025;
- ввод объекта в эксплуатацию с 01.12.2025 по 10.12.2025.
1.2. Цена контракта 3 114 407,6 тыс. руб. из них:
- 1 этап ПИР – 34 981,9 тыс. руб. (на отчетную дату этап завершен);
- 2 этап СМР – 3 079 425,7 тыс. руб.
1.3. Аванс по контракту составляет 749 783,2 тыс. руб., из них остаток аванса на 01.03.2025 - 557 354,1 тыс. руб.
1.4. На отчетную дату принято работ на сумму 799 301,4 тыс. руб. из них:
- 1 этап ПИР – 34 981,9 тыс. руб. – исполнен в полном объеме;
- 2 этап СМР – 764 319,5 тыс. руб. – готовность – 34%;
1.5. На отчетную дату кассовые расходы (в том числе аванс) составили 1 356 655,5 тыс. руб. из них:
- 1 этап ПИР – 34 981,9 тыс. руб.;
- 2 этап СМР – 1 321 673,6 тыс. руб.
2. Степень готовности объекта:
2.1 Проектно-изыскательские работы – готовность 100%, из них:
- положительное заключение государственной экспертизы результатов инженерных изысканий и проектной документации (без смет) от 23.12.2022 №86-1-1-3-091907-2022;
- положительное заключение государственной экспертизы о достоверности сметной стоимости строительства объекта от 22.11.2024 №86-1-1-2-069258-2024;
- выполнение проектно-изыскательских работ по 1 этапу контракта выполнено с нарушением сроков выполнения работ подрядной организацией, выставлено 12-ть претензий об уплате неустойки на общую сумму 11 731,48 тыс. руб.
2.2 Строительство объекта - готовность 34%:
СМР: Выполнены 100%: ж/б конструкции цокольного, 1, 2 этажей, наружный водопровод, наружное электроснабжение, тепловые сети, связь. 
Ведутся работы: бетонирование плиты перекрытия 3 этажа - 52%; бетонирование колонн и диафрагм жесткости 3 этажа – 90%; бетонирование конструкций 4 этажа - 12%; кирпичная кладка наружных стен 1 этажа – 98%; кирпичная кладка наружных стен 2 этажа – 43%; кирпичная кладка перегородок 1-2 этажей -42%; наружные сети канализации К1, К2 – 60%; благоустройство территории – 17%; монтаж металлоконструкций перекрытия - 32%, прокладка вентиляционных коробов 1 этажа -21%; монтаж оконных блоков 1 этажа - 39%.
3. Планируемая дата ввода объекта в эксплуатацию - 10.12.2025.
II) Муниципальный контракт №Кг-38.22 от 12.04.2022 на технологическое присоединение к электрическим сетям на сумму 8,13 тыс. руб, срок оказания услуг 1 год. Исполнение контракта возможно после завершения строительства объекта.</t>
  </si>
  <si>
    <t>Экономия по средставам МБ составила -1309,95 тыс.руб.</t>
  </si>
  <si>
    <t>В соответствии с Решением Думы г.Когалыма от 12.02.2025 выделены плановые ассигнования на ликвидацию несанкционированной свалки на участке, расположенном напротив территории земельного участка по ул. Центральная, 18 (земельный участок с кадастровым номером 86:17:0010608:399) в сумме 4 707,00 тыс.руб.</t>
  </si>
  <si>
    <t>Экономия в сумме 1290,48 тыс.руб. по заработной плате и начислениям по оплате труда (предоставление листов временной нетрудоспособности, отпусков без сохранения заработной платы, выплаты денежного поощрения по результатам работы за год за фактически отработанное время, оплата досрочно страховых взносов с зарплаты за декабрь 2024г, наличие вакантной ставки)(экономия по заработной плате ввиду наличия вакантной должности , листов нетрудоспособности ).</t>
  </si>
  <si>
    <t xml:space="preserve">Экономия сложилась в сумме  556,19  тыс.руб. по заработной плате и начислениям по оплате труда (предоставление листов временной нетрудоспособности, отпусков без сохранения заработной платы, выплаты денежного поощрения по результатам работы за год за фактически отработанное время, оплата досрочно страховых взносов с зарплаты за декабрь 2024г, наличие вакантной ставки).
</t>
  </si>
  <si>
    <t>Экономия в сумме  367,40 тыс.руб. сложилась по заработной плате и начислениям по оплате труда (предоставление листов временной нетрудоспособности, отпусков без сохранения заработной платы, выплаты денежного поощрения по результатам работы за год за фактически отработанное время, оплата досрочно страховых взносов с зарплаты за декабрь 2024г, наличие вакантной ставки).</t>
  </si>
  <si>
    <t>1. Муниципальный контракт № 0187300013724000264 от 20.11.2024 на выполнение работ по разработке проектной документации для выполнения капитального ремонта здания МАДОУ "Колокольчик" корпус 2 в городе Когалыме;
- цена контракта: 3002,55 тыс.руб.;
- срок выполнения работ: 01.07.2025.
2. Муниципальный контракт № 0187300013724000265 от 20.11.2024 на ыыполнение работ по разработке проектной документации для выполнения капитального ремонта здания МАДОУ "Цветик-семицветик" корпус 2 в городе Когалыме 
- цена контракта: 2 692,01 тыс.руб.;
- срок выполнения работ: 01.07.2025.</t>
  </si>
  <si>
    <t>Муниципальный контракт №0187300013724000024 от 26.03.2024 на выполнение работ по разработке проектно-сметной документации для выполнения капитального ремонта здания МАОУ СОШ №7 в городе Когалыме:
- цена контракта 2 345,11 тыс.рублей;
- срок выполнения работ - 15.11.2024 года;
- подрядчиком устраняются замечания по разработке проектно-сметной документации.</t>
  </si>
  <si>
    <r>
      <t xml:space="preserve">МКУ "УОДОМС":
</t>
    </r>
    <r>
      <rPr>
        <sz val="12"/>
        <rFont val="Times New Roman"/>
        <family val="1"/>
        <charset val="204"/>
      </rPr>
      <t xml:space="preserve">Приобретены бумага офисная (6 пачек, формат А4), канцтовары.
</t>
    </r>
    <r>
      <rPr>
        <b/>
        <sz val="12"/>
        <rFont val="Times New Roman"/>
        <family val="1"/>
        <charset val="204"/>
      </rPr>
      <t>УпоЖП:</t>
    </r>
    <r>
      <rPr>
        <sz val="12"/>
        <rFont val="Times New Roman"/>
        <family val="1"/>
        <charset val="204"/>
      </rPr>
      <t xml:space="preserve">
 В связи с окончанием срока реализации мероприятия приём документов для признания участниками осуществлялся до 31.12.2004 г. В настоящее время приём документов по данному мероприятию не ведётся. В списке отдельных категорий граждан претендующих на получение меры государственной поддержки  по городу Когалыму на 31.03.2025 состоят 4 человека (3 инвалида, 1 ветеран боевых действий). Граждане, изъявившие желание на получение субсидии в 2025 году, отсутствуют.</t>
    </r>
  </si>
  <si>
    <t xml:space="preserve">    Оплата оказанных услуг по обращению с животными без владельцев на территории города Когалыма за период с 1 по 25 декабря 2024 года была проведена 26.12.2024.
     С ИП Скляр Л.А. заключен МК от 11.11.2024 №0187300013724000262 на оказание услуг по обращению с животными без владельцев на территории города Когалыма на сумму 9 536,70 тыс.руб. Период оказания услуг по МК с 26.12.2024 по 25.12.2025.
 С ИП  КАРПОВ ВЛАДИСЛАВ ГЕННАДЬЕВИЧ заключен МК от 26.03.2025 №0187300013725000025 на Оказание услуг по акарицидной, дезинсекционной (ларвицидной) обработке, барьерной дератизации, а также сбору и утилизации трупов животных на территории города Когалыма на сумму 850,85 тыс. рублей. Период оказания услуг с 28.04.2025 по 18.09.2025.</t>
  </si>
  <si>
    <r>
      <t xml:space="preserve">Остаток плановых ассигнований cоставил: </t>
    </r>
    <r>
      <rPr>
        <b/>
        <sz val="12"/>
        <rFont val="Times New Roman"/>
        <family val="1"/>
        <charset val="204"/>
      </rPr>
      <t>265,00 тыс. руб.</t>
    </r>
    <r>
      <rPr>
        <sz val="12"/>
        <rFont val="Times New Roman"/>
        <family val="1"/>
        <charset val="204"/>
      </rPr>
      <t xml:space="preserve">:
1) </t>
    </r>
    <r>
      <rPr>
        <b/>
        <sz val="12"/>
        <rFont val="Times New Roman"/>
        <family val="1"/>
        <charset val="204"/>
      </rPr>
      <t>по бюджету г.Когалыма</t>
    </r>
    <r>
      <rPr>
        <sz val="12"/>
        <rFont val="Times New Roman"/>
        <family val="1"/>
        <charset val="204"/>
      </rPr>
      <t xml:space="preserve"> - 178,21 тыс. руб.                                                        - 166,85 тыс. руб. оплата труда гражданского персонала, начисления на выплаты по оплате труда (работники приняты не в запланированные даты и отработали не полный месяц);                                          - 11,36 тыс. руб. (возмещение работникам, связанных с прохождением первичного медосмотра). Остаток средств в связи с прохожденеим первичного медосмотра ранее.
2) </t>
    </r>
    <r>
      <rPr>
        <b/>
        <sz val="12"/>
        <rFont val="Times New Roman"/>
        <family val="1"/>
        <charset val="204"/>
      </rPr>
      <t>по бюджету автономного округа</t>
    </r>
    <r>
      <rPr>
        <sz val="12"/>
        <rFont val="Times New Roman"/>
        <family val="1"/>
        <charset val="204"/>
      </rPr>
      <t xml:space="preserve"> - 86,79 тыс. руб. Оплата труда гражданского персонала, начисления на выплаты по оплате труда  (работники приняты не в запланированные даты, отработали не полный месяц).</t>
    </r>
  </si>
  <si>
    <r>
      <t xml:space="preserve">Остаток плановых ассигнований  составил </t>
    </r>
    <r>
      <rPr>
        <b/>
        <sz val="12"/>
        <rFont val="Times New Roman"/>
        <family val="1"/>
        <charset val="204"/>
      </rPr>
      <t>2,63 тыс. руб</t>
    </r>
    <r>
      <rPr>
        <sz val="12"/>
        <rFont val="Times New Roman"/>
        <family val="1"/>
        <charset val="204"/>
      </rPr>
      <t xml:space="preserve">.:                                     1) по бюджету г.Когалыма </t>
    </r>
    <r>
      <rPr>
        <b/>
        <sz val="12"/>
        <rFont val="Times New Roman"/>
        <family val="1"/>
        <charset val="204"/>
      </rPr>
      <t xml:space="preserve">2,15 тыс. руб.                                                        </t>
    </r>
    <r>
      <rPr>
        <sz val="12"/>
        <rFont val="Times New Roman"/>
        <family val="1"/>
        <charset val="204"/>
      </rPr>
      <t xml:space="preserve">                2) по бюджету автономного округа </t>
    </r>
    <r>
      <rPr>
        <b/>
        <sz val="12"/>
        <rFont val="Times New Roman"/>
        <family val="1"/>
        <charset val="204"/>
      </rPr>
      <t xml:space="preserve">0,48 тыс. руб. </t>
    </r>
    <r>
      <rPr>
        <sz val="12"/>
        <rFont val="Times New Roman"/>
        <family val="1"/>
        <charset val="204"/>
      </rPr>
      <t xml:space="preserve">                                                         НДФЛ и страховые взносы будут перечислены в марте 2025 года (в соответствии со сроками установленными в Налоговом Кодексе РФ).      </t>
    </r>
  </si>
  <si>
    <r>
      <t>Остаток плановых ассигнований по бюджету автономного округа в сумме</t>
    </r>
    <r>
      <rPr>
        <b/>
        <sz val="12"/>
        <rFont val="Times New Roman"/>
        <family val="1"/>
        <charset val="204"/>
      </rPr>
      <t xml:space="preserve"> 129,67 тыс. рублей</t>
    </r>
    <r>
      <rPr>
        <sz val="12"/>
        <rFont val="Times New Roman"/>
        <family val="1"/>
        <charset val="204"/>
      </rPr>
      <t xml:space="preserve"> возник в связи с тем, что кассовые расходы на связь, комунальные услуги и услуги по техническому обслуживанию оргтехники производились по фактически выставленым поставщиками счетам. Специалистами отдела по труду и занятости: рассмотрено 224 устных и 1 письменное обращение, поступивших от организаций и работников касающихся охраны труда, оплаты труда, занятости, нарушений ТК РФ; подготовлены отчёты и направлены в установленные сроки в Департамент по труду и занятости населения ХМАО-Югры.</t>
    </r>
  </si>
  <si>
    <t xml:space="preserve"> На выполнение работ (оказание услуг) в 2025 году заключены МК: 
   - от 05.11.2024 №0187300013724000251 с ИП Блаженским М.В. на оказание услуг по очистке, погрузке и вывозу снега с территории города Когалыма на сумму 49 010,00 тыс.руб.(услуги оказываются с 05.11.2024), дополнительным соглашением контракт был увеличен, сумма контракта 53 911,00 тыс.рублей
-услуги оказаны и оплачены в полном объеме.
   - от 30.09.2024 №0187300013724000219 с ИП Сагидовым М.С. на оказание услуг по содержанию мест (площадок) накопления ТКО на сумму 1 815,149 тыс.руб. (в т.ч. на 2025 год на сумму 884,854 тыс.руб.);
   - от 28.10.2024 №0187300013724000247 с АО "ЮТЭК-Когалым" на выполнение работ по оперативному, техническому обслуживанию и текущему ремонту электрооборудования сетей наружного освещения и светофорных объектов г.Когалыма на сумму 34 624,20 тыс.руб. (в т.ч.ТО сетей НО на сумму 28 019,500 тыс.руб.);
     - от 08.11.2024 №0187300013724000258 и №0187300013724000259 с ИП Нуриахметовым Г.В. на поставку, монтаж и содержание зимних горок на сумму 2 458,346 тыс.руб. и 3 770,00 тыс.руб. соответственно;
   - от 29.12.2024 №0187300013724000279 с ООО "Ритуал" на оказание услуг по содержанию городского кладбища на территории города Когалыма на сумму 3 858,656 тыс.руб.;
   - от 18.12.2024 №ЭС1902000062/25 с АО "Газпром энергосбыт Тюмень" на сумму 21 642,4 тыс.руб. на электроэнергию сетей НО улиц и дворовых территорий.
 - от 11.03.2025 №2025.249062 с ИП ИВЛЮТИН ИГОРЬ АЛЕКСАНДРОВИЧ на сумму 220,00 тыс.рублей на поставку флагов;
 -от 18.03.2025 №0187300013725000014 с АО "РОССЕТИ ТЮМЕНЬ" на сумму 1 022,64 тыс.руб. на выполнение работ по ремонту(замене) оборудования сетей наружного освещения на территории города Когалыма;
 - от 25.03.2025 №7/2025 с ИП Блаженским М.В. на оказание услуг по очистке, погрузке и вывозу снега с территории города Когалыма на сумму 598,85 тыс.руб;
- от 25.03.2025 №8/2025 с ИП Блаженским М.В. на оказание услуг по очистке, погрузке и вывозу снега с территории города Когалыма на сумму 598,85 тыс.руб;
-от 25.03.2025 №9/2025 с ИП Блаженским М.В. на оказание услуг по очистке, погрузке и вывозу снега с территории города Когалыма на сумму 598,85 тыс.руб;
- от 27.03.2025 №0387300043825000002 с  с ИП Блаженским М.В. на оказание услуг по очистке, погрузке и вывозу снега с территории города Когалыма на сумму 6 603,30 тыс. руб;
- от 28.03.2025 №0187300013725000027 с ИП Козер С.А. выполнение работ по ремонту пешеходных дорожек и тротуаров в городе Когалыме на сумму 6 097,54 тыс. руб;
- от 31.03.2025 №10/2025 с ИП БЕЛОЗЕРОВ ВЛАДИСЛАВ АЛЕКСАНДРОВИЧ на оказание услуг по изготовлению пленки с оклейкой (брендирование) транспортных средств (автобусов) на сумму 460,68 тыс. руб;
- от 20.03.2025 №30Д с ООО "ГОРВОДОКАНАЛ" на оказание услуг по обслуживанию участка сети хозяйственно-бытовой и производственной канализации на объекте, расположенном по адресу: 
Ханты-Мансийский автономный округ-Югра, г. Когалым, ул. Береговая, район дома 101 на сумму 302,90 тыс.руб;
- от 31.03.2025 №11/2025 с ИП МОЦБАВЕР ЕМЕЛЬЯН ЕМЕЛЬЯНОВИЧ на оказание услуг по откачке дождевых вод на сумму 592,04 тыс.руб.
     В соответствии с Решением Думы г.Когалыма от 12.02.2025 №510-ГД выделены плановые ассигнования:
- на украшение общественного транспорта, осуществляющего регулярные перевозки пассажиров и багажа на автобусных маршрутах города Когалыма, в рамках подготовки к празднованию знаменательных и юбилейных дат в сумме 3 416,70 тыс.руб.;
- на ремонт объекта "Архитектурная композиция и основание", расположенного на пересечении улиц Дружбы Народов - Молодежная - Югорская (Жемчужина) в сумме 499,41 тыс.руб.;
- на оформление технических планов на инженерные сети ливневой канализации в сумме 91,0 тыс.руб.
В соответствии с Соглашением с ПАО ЛУКОЙЛ выделены плановые ассигнования:
- обустройство пешеходных дорожек к Образовательному центру (ОЦ) (Асфальтирование пешеходной дорожки до ОЦ (протяженность 1,4 км ширина в 2 плиты - м) - 20 000 тыс.руб. Ведется процедура согласования контракта
- обустройство пешеходных дорожек к Образовательному центру (ОЦ) (обустройство пешеходной дорожки от Экотропы до дорожки к ОЦ -2 521,00 тыс.руб. Ведется процедура согласования контракта
- благоустройство городской территории (Ремонт фонтанов на территории Рябинового бульвара 36,496 млн руб. Ведется процедура согласования контракта
     Неполное освоение плановых ассигнований обусловлено оплатой за электроэнергию наружного освещения, оказание ритуальных услуг и услуг по перевозке умерших по факту, на основании актов оказанных услуг с предоставлением счетов. Отклонение по МБУ "КСАТ" от плана составляет 12192,11 тыс.руб. </t>
  </si>
  <si>
    <t>Экономия на оплату труда и начисления на нее сложилась  в связи с наличием больничных листов.</t>
  </si>
  <si>
    <t>Оплата за статистические сборники произведена согласно выставленным счетам.</t>
  </si>
  <si>
    <t>ПК 1.1</t>
  </si>
  <si>
    <t>Ведется подготовка аукционной документации.</t>
  </si>
  <si>
    <t xml:space="preserve">Комплекс процессных мероприятий «Участие объектов благоустройства в конкурсных
мероприятиях» </t>
  </si>
  <si>
    <t>Комплекс процессных мероприятий «Благоустройство городских территорий в городе
Когалыме»/ Оформление улиц города Когалыма к Юбилею (установка памятников, скамеек и малых
архитектурных форм)/Выполнение работ по благоустройству дворовых территорий/
Выполнение работ по благоустройству общественных территорий «Этностойбище коренных народов ХМАО-Югры «Вонт – Корт» (лесное стойбище) в городе Когалыме/ Выполнение работ по благоустройству общественных пространств (ремонт тротуаров, перенос
рекламной конструкции, ремонт объекта «Архитектурная композиция «Жемчужина»)</t>
  </si>
  <si>
    <t>1.Муниципальный контракт № 0187300013724000198 от 30.09.2024 на выполнение работ по строительству объекта благоустройства "Парк Первопроходцев в городе Когалыме" (1 этап);
- цена контракта 377 990,18 тыс. руб. (из них 2024 год - 372 999,26 тыс.руб., 2025 год - 4 990,92 тыс.руб.) 
- сроки выполнения работ: I - этап 30.09.2024-02.12.2024; II - этап 15.05.2025-25.08.2025
2. Муниципальный контракт № 0187300013725000012 от 26.03.2025 на выполнение работ по благоустройству объекта "Парк Первопроходцев в городе Когалыме" (2 этап)
-цена контракта 298 000,00 тыс.руб.
- сроки вполнения работ: 25.08.2025 года.
- ведется выполнение работ
3. Договор № КГ-119.25 от 27.03.2025 на технологическое присоединение для электроснабжения объекта "Объект благоустройства "Парк Первопроходцев в городе Когалыме" (2,3 этап)" расположенного по адресу: Ханты-Мансийский АО - Югра, г. Когалым, ул. Дружбы Народов.
- цена договора 884,99 тыс.руб (авансирование 100% - оплата произведена 28.03.2025)
- выполнение технологического присоединения в течени 1 года с момента заключения договора.
4. Контракт № 1/Л от 01.04.2025 (функции заказчика переданы 03.04.2025) на выполнение работ по благоустройству объекта "Парк Первопроходцев в городе Когалыме" (3 этап)
- цена контракта 99 000 тыс.руб. ( выплачен аванс 70%)
- сроки выполнения работ: 25.08.2025                          5. Муниципальный контракт № 0187300013725000024 от 26.03.2025 на выполнение работ по благоустройству объекта "Экотропа в городе Когалыме"
- цена контракта: 89 000,00 тыс.руб.
- сроки выполнения работ: 15.08.2025 г.</t>
  </si>
  <si>
    <t>1.Муниципальный контракт № 0387300043825000001 от 18.02.2025 на выполнение работ по устройству этнических сооружений на объекте благоустройства «Этностойбище коренных народов ХМАО-Югры «Вонт-Корт» (лесное стойбище) в г. Когалыме»
- цена контракта 990,0 тыс. руб. 
- сроки выполнения работ: 31.03.2025 год.
2. Муниципальный контракт № 0387300043825000003 от 04.04.2025 на выполнение работ по устройству этнических сооружений на объекте благоустройства «Этностойбище коренных народов ХМАО-Югры «Вонт-Корт» (лесное стойбище) в г. Когалыме»
- цена контракта 976,00 тыс.руб
- срок выполнения работ: 11.06.2025.</t>
  </si>
  <si>
    <t xml:space="preserve">Муниципальный проект «Сквер вблизи СК «Олимп» </t>
  </si>
  <si>
    <t>привлеченный средства</t>
  </si>
  <si>
    <r>
      <t xml:space="preserve">МКУ "УКС и ЖКК г.Когалыма"
</t>
    </r>
    <r>
      <rPr>
        <sz val="12"/>
        <rFont val="Times New Roman"/>
        <family val="1"/>
        <charset val="204"/>
      </rPr>
      <t>1. Заключен муниципальный контракт №0187300013725000026 от 28.03.2025 на выполнение работ по сносу ветхих и непригодных для проживания домов на сумму 1 018,05 тыс.рублей
-срок выполнения работ 07.04.2025;
-работы выполнены и оплачены в полном объеме.
2. Заключен муниципальный контракт №13/2025 от 11.04.2025 на выполнение работ по сносу ветхого и непригодного для проживания дома, расположенного по адресу: город Когалым, улица Мостовая, дом №15 на сумму 577,22  тыс.рублей
-срок выполнения работ 30.04.2025;
-работы выполнены и оплачены в полном объеме.
3. Заключен муниципальный контракт №14/2025 от 11.04.2025 на выполнение работ по сносу ветхого и непригодного для проживания дома, расположенного по адресу: город Когалым, улица Мостовая, дом №38 на сумму 577,22  тыс.рублей
-срок выполнения работ 30.04.2025;
-работы выполнены и оплачены в полном объеме.</t>
    </r>
  </si>
  <si>
    <r>
      <t xml:space="preserve">МКУ "УКС и ЖКК г.Когалыма":
</t>
    </r>
    <r>
      <rPr>
        <sz val="12"/>
        <rFont val="Times New Roman"/>
        <family val="1"/>
        <charset val="204"/>
      </rPr>
      <t>Основной статьей неисполнения является заработная плата - наличие вакансий.</t>
    </r>
  </si>
  <si>
    <r>
      <t xml:space="preserve">УпоЖП:
</t>
    </r>
    <r>
      <rPr>
        <sz val="12"/>
        <rFont val="Times New Roman"/>
        <family val="1"/>
        <charset val="204"/>
      </rPr>
      <t>27.12.2024 между Департаментом строительства и архитектуры Ханты-Мансийского автономного округа - Югры и Муниципальным казенным учреждением Администрация города Когалыма заключено соглашение о предоставлении субсидии на 2025-2027 годы.  По состоянию на 30.04.2025 в списке молодых семей, претендующих на получение меры государственной поддержки  по городу Когалыму, состоят 14 семей. В 2025 году в соответствии с условиями муниципальной программы получателями субсидий являются 2 молодые семьи, из которых: 1 семье предоставлена социальная выплата, другая семья в соответствии с выданным свидетельством о праве на получение социальной выплаты находится в стадии поиска жилого помещения для приобретения.</t>
    </r>
  </si>
  <si>
    <r>
      <t xml:space="preserve">УпоЖП:
</t>
    </r>
    <r>
      <rPr>
        <sz val="12"/>
        <rFont val="Times New Roman"/>
        <family val="1"/>
        <charset val="204"/>
      </rPr>
      <t xml:space="preserve"> В связи с окончанием срока реализации мероприятия приём документов для признания участниками осуществлялся до 31.12.2004 г. В настоящее время приём документов по данному мероприятию не ведётся. В списке отдельных категорий граждан претендующих на получение меры государственной поддержки  по городу Когалыму на 30.04.2025 состоят 4 человека (3 инвалида, 1 ветеран боевых действий). Граждане, изъявившие желание на получение субсидии в 2025 году, отсутствуют.</t>
    </r>
  </si>
  <si>
    <r>
      <t xml:space="preserve">УпоЖП:
</t>
    </r>
    <r>
      <rPr>
        <sz val="12"/>
        <rFont val="Times New Roman"/>
        <family val="1"/>
        <charset val="204"/>
      </rPr>
      <t>Отклонение факта от плана реализации денежных средств сложилось ввиду того, что вновь принятые муниципальные служащие управления по жилищной политике Администрации города Когалыма не имеют стажа на муниципальной службе, в связи с чем надбавки за выслугу лет, классный чин и за особые условия труда начисляются в минимальном размере.</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</si>
</sst>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_ ;[Red]\-#,##0.0\ "/>
    <numFmt numFmtId="165" formatCode="#,##0_ ;[Red]\-#,##0\ "/>
    <numFmt numFmtId="166" formatCode="#,##0.00_ ;[Red]\-#,##0.00\ "/>
    <numFmt numFmtId="167" formatCode="_(* #,##0.00_);_(* \(#,##0.00\);_(* &quot;-&quot;??_);_(@_)"/>
  </numFmts>
  <fonts count="47" x14ac:knownFonts="1">
    <font>
      <sz val="11"/>
      <color theme="1"/>
      <name val="Calibri"/>
      <family val="2"/>
      <charset val="204"/>
      <scheme val="minor"/>
    </font>
    <font>
      <sz val="11"/>
      <color theme="1"/>
      <name val="Calibri"/>
      <family val="2"/>
      <charset val="204"/>
      <scheme val="minor"/>
    </font>
    <font>
      <sz val="12"/>
      <color rgb="FFFF0000"/>
      <name val="Times New Roman"/>
      <family val="1"/>
      <charset val="204"/>
    </font>
    <font>
      <sz val="12"/>
      <name val="Times New Roman"/>
      <family val="1"/>
      <charset val="204"/>
    </font>
    <font>
      <sz val="16"/>
      <color rgb="FFFF0000"/>
      <name val="Times New Roman"/>
      <family val="1"/>
      <charset val="204"/>
    </font>
    <font>
      <sz val="14"/>
      <color rgb="FFFF0000"/>
      <name val="Times New Roman"/>
      <family val="1"/>
      <charset val="204"/>
    </font>
    <font>
      <sz val="16"/>
      <name val="Times New Roman"/>
      <family val="1"/>
      <charset val="204"/>
    </font>
    <font>
      <sz val="14"/>
      <name val="Times New Roman"/>
      <family val="1"/>
      <charset val="204"/>
    </font>
    <font>
      <sz val="10"/>
      <name val="Arial"/>
      <family val="2"/>
      <charset val="204"/>
    </font>
    <font>
      <sz val="11"/>
      <color theme="1"/>
      <name val="Calibri"/>
      <family val="2"/>
      <scheme val="minor"/>
    </font>
    <font>
      <sz val="11"/>
      <color rgb="FFFF0000"/>
      <name val="Calibri"/>
      <family val="2"/>
      <charset val="204"/>
      <scheme val="minor"/>
    </font>
    <font>
      <sz val="16"/>
      <color rgb="FFFF0000"/>
      <name val="Calibri"/>
      <family val="2"/>
      <charset val="204"/>
      <scheme val="minor"/>
    </font>
    <font>
      <sz val="11"/>
      <name val="Calibri"/>
      <family val="2"/>
      <charset val="204"/>
      <scheme val="minor"/>
    </font>
    <font>
      <b/>
      <sz val="12"/>
      <name val="Times New Roman"/>
      <family val="1"/>
      <charset val="204"/>
    </font>
    <font>
      <b/>
      <sz val="11"/>
      <name val="Calibri"/>
      <family val="2"/>
      <charset val="204"/>
      <scheme val="minor"/>
    </font>
    <font>
      <sz val="16"/>
      <name val="Calibri"/>
      <family val="2"/>
      <charset val="204"/>
      <scheme val="minor"/>
    </font>
    <font>
      <sz val="9"/>
      <color indexed="81"/>
      <name val="Tahoma"/>
      <family val="2"/>
      <charset val="204"/>
    </font>
    <font>
      <b/>
      <sz val="9"/>
      <color indexed="81"/>
      <name val="Tahoma"/>
      <family val="2"/>
      <charset val="204"/>
    </font>
    <font>
      <sz val="14"/>
      <color rgb="FFFF0000"/>
      <name val="Calibri"/>
      <family val="2"/>
      <charset val="204"/>
      <scheme val="minor"/>
    </font>
    <font>
      <sz val="14"/>
      <name val="Calibri"/>
      <family val="2"/>
      <charset val="204"/>
      <scheme val="minor"/>
    </font>
    <font>
      <b/>
      <sz val="14"/>
      <name val="Calibri"/>
      <family val="2"/>
      <charset val="204"/>
      <scheme val="minor"/>
    </font>
    <font>
      <b/>
      <sz val="12"/>
      <color rgb="FFFF0000"/>
      <name val="Times New Roman"/>
      <family val="1"/>
      <charset val="204"/>
    </font>
    <font>
      <sz val="12"/>
      <name val="Calibri"/>
      <family val="2"/>
      <charset val="204"/>
      <scheme val="minor"/>
    </font>
    <font>
      <b/>
      <sz val="12"/>
      <name val="Calibri"/>
      <family val="2"/>
      <charset val="204"/>
      <scheme val="minor"/>
    </font>
    <font>
      <sz val="12"/>
      <color rgb="FFFF0000"/>
      <name val="Calibri"/>
      <family val="2"/>
      <charset val="204"/>
      <scheme val="minor"/>
    </font>
    <font>
      <sz val="11"/>
      <name val="Times New Roman"/>
      <family val="1"/>
      <charset val="204"/>
    </font>
    <font>
      <b/>
      <sz val="11"/>
      <name val="Times New Roman"/>
      <family val="1"/>
      <charset val="204"/>
    </font>
    <font>
      <b/>
      <i/>
      <sz val="12"/>
      <name val="Times New Roman"/>
      <family val="1"/>
      <charset val="204"/>
    </font>
    <font>
      <i/>
      <sz val="12"/>
      <name val="Times New Roman"/>
      <family val="1"/>
      <charset val="204"/>
    </font>
    <font>
      <b/>
      <sz val="11"/>
      <color rgb="FFFF0000"/>
      <name val="Calibri"/>
      <family val="2"/>
      <charset val="204"/>
      <scheme val="minor"/>
    </font>
    <font>
      <sz val="11"/>
      <color rgb="FFFF0000"/>
      <name val="Times New Roman"/>
      <family val="1"/>
      <charset val="204"/>
    </font>
    <font>
      <sz val="10"/>
      <name val="Times New Roman"/>
      <family val="1"/>
      <charset val="204"/>
    </font>
    <font>
      <sz val="9"/>
      <name val="Times New Roman"/>
      <family val="1"/>
      <charset val="204"/>
    </font>
    <font>
      <b/>
      <sz val="12"/>
      <color rgb="FFFF0000"/>
      <name val="Calibri"/>
      <family val="2"/>
      <charset val="204"/>
      <scheme val="minor"/>
    </font>
    <font>
      <b/>
      <sz val="11"/>
      <color theme="1"/>
      <name val="Calibri"/>
      <family val="2"/>
      <charset val="204"/>
      <scheme val="minor"/>
    </font>
    <font>
      <b/>
      <sz val="12"/>
      <color theme="1"/>
      <name val="Times New Roman"/>
      <family val="1"/>
      <charset val="204"/>
    </font>
    <font>
      <b/>
      <sz val="11"/>
      <color theme="1"/>
      <name val="Times New Roman"/>
      <family val="1"/>
      <charset val="204"/>
    </font>
    <font>
      <sz val="11"/>
      <color theme="1"/>
      <name val="Times New Roman"/>
      <family val="1"/>
      <charset val="204"/>
    </font>
    <font>
      <sz val="12"/>
      <color theme="1"/>
      <name val="Times New Roman"/>
      <family val="1"/>
      <charset val="204"/>
    </font>
    <font>
      <sz val="16"/>
      <color theme="1"/>
      <name val="Calibri"/>
      <family val="2"/>
      <charset val="204"/>
      <scheme val="minor"/>
    </font>
    <font>
      <b/>
      <i/>
      <sz val="12"/>
      <color theme="1"/>
      <name val="Times New Roman"/>
      <family val="1"/>
      <charset val="204"/>
    </font>
    <font>
      <i/>
      <sz val="12"/>
      <color theme="1"/>
      <name val="Times New Roman"/>
      <family val="1"/>
      <charset val="204"/>
    </font>
    <font>
      <sz val="14"/>
      <color theme="1"/>
      <name val="Times New Roman"/>
      <family val="1"/>
      <charset val="204"/>
    </font>
    <font>
      <b/>
      <sz val="11"/>
      <name val="Times New Roman"/>
      <family val="1"/>
      <charset val="204"/>
    </font>
    <font>
      <sz val="14"/>
      <name val="Times New Roman"/>
      <family val="1"/>
      <charset val="204"/>
    </font>
    <font>
      <sz val="12"/>
      <name val="Times New Roman"/>
      <family val="1"/>
      <charset val="204"/>
    </font>
    <font>
      <b/>
      <sz val="16"/>
      <name val="Calibri"/>
      <family val="2"/>
      <charset val="204"/>
      <scheme val="minor"/>
    </font>
  </fonts>
  <fills count="19">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rgb="FFFFC000"/>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39997558519241921"/>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0" fontId="1" fillId="0" borderId="0"/>
    <xf numFmtId="0" fontId="8" fillId="0" borderId="0"/>
    <xf numFmtId="43" fontId="9" fillId="0" borderId="0" applyFont="0" applyFill="0" applyBorder="0" applyAlignment="0" applyProtection="0"/>
    <xf numFmtId="167" fontId="8" fillId="0" borderId="0" applyFont="0" applyFill="0" applyBorder="0" applyAlignment="0" applyProtection="0"/>
  </cellStyleXfs>
  <cellXfs count="537">
    <xf numFmtId="0" fontId="0" fillId="0" borderId="0" xfId="0"/>
    <xf numFmtId="0" fontId="2" fillId="0" borderId="0" xfId="1" applyFont="1" applyAlignment="1" applyProtection="1">
      <alignment horizontal="left" vertical="top" wrapText="1"/>
    </xf>
    <xf numFmtId="0" fontId="2" fillId="0" borderId="0" xfId="1" applyFont="1" applyAlignment="1" applyProtection="1">
      <alignment horizontal="justify" vertical="center" wrapText="1"/>
    </xf>
    <xf numFmtId="0" fontId="2" fillId="0" borderId="0" xfId="1" applyFont="1" applyAlignment="1" applyProtection="1">
      <alignment vertical="center" wrapText="1"/>
    </xf>
    <xf numFmtId="0" fontId="3" fillId="0" borderId="0" xfId="1" applyFont="1" applyAlignment="1" applyProtection="1">
      <alignment vertical="center" wrapText="1"/>
    </xf>
    <xf numFmtId="164" fontId="2" fillId="0" borderId="0" xfId="1" applyNumberFormat="1" applyFont="1" applyAlignment="1" applyProtection="1">
      <alignment vertical="center" wrapText="1"/>
    </xf>
    <xf numFmtId="164" fontId="4" fillId="0" borderId="0" xfId="1" applyNumberFormat="1" applyFont="1" applyAlignment="1" applyProtection="1">
      <alignment horizontal="left" vertical="center" wrapText="1"/>
    </xf>
    <xf numFmtId="0" fontId="5" fillId="0" borderId="0" xfId="1" applyFont="1" applyAlignment="1" applyProtection="1">
      <alignment vertical="center" wrapText="1"/>
    </xf>
    <xf numFmtId="0" fontId="10" fillId="0" borderId="0" xfId="1" applyFont="1" applyProtection="1"/>
    <xf numFmtId="0" fontId="10" fillId="0" borderId="0" xfId="1" applyFont="1" applyAlignment="1" applyProtection="1">
      <alignment vertical="top"/>
    </xf>
    <xf numFmtId="0" fontId="12" fillId="0" borderId="0" xfId="1" applyFont="1" applyProtection="1"/>
    <xf numFmtId="49" fontId="13" fillId="0" borderId="9" xfId="1" applyNumberFormat="1" applyFont="1" applyBorder="1" applyAlignment="1" applyProtection="1">
      <alignment horizontal="center" vertical="center" wrapText="1"/>
    </xf>
    <xf numFmtId="0" fontId="3" fillId="0" borderId="0" xfId="1" applyFont="1" applyAlignment="1" applyProtection="1">
      <alignment horizontal="left" vertical="top" wrapText="1"/>
    </xf>
    <xf numFmtId="0" fontId="3" fillId="0" borderId="0" xfId="1" applyFont="1" applyAlignment="1" applyProtection="1">
      <alignment horizontal="justify" vertical="center" wrapText="1"/>
    </xf>
    <xf numFmtId="164" fontId="3" fillId="0" borderId="0" xfId="1" applyNumberFormat="1" applyFont="1" applyAlignment="1" applyProtection="1">
      <alignment vertical="center" wrapText="1"/>
    </xf>
    <xf numFmtId="164" fontId="6" fillId="0" borderId="0" xfId="1" applyNumberFormat="1" applyFont="1" applyAlignment="1" applyProtection="1">
      <alignment horizontal="left" vertical="center" wrapText="1"/>
    </xf>
    <xf numFmtId="0" fontId="7" fillId="0" borderId="0" xfId="1" applyFont="1" applyAlignment="1" applyProtection="1">
      <alignment vertical="center" wrapText="1"/>
    </xf>
    <xf numFmtId="0" fontId="12" fillId="0" borderId="0" xfId="1" applyFont="1" applyAlignment="1" applyProtection="1">
      <alignment vertical="top"/>
    </xf>
    <xf numFmtId="0" fontId="10" fillId="0" borderId="0" xfId="1" applyFont="1" applyAlignment="1" applyProtection="1">
      <alignment vertical="center"/>
    </xf>
    <xf numFmtId="166" fontId="11" fillId="0" borderId="0" xfId="1" applyNumberFormat="1" applyFont="1" applyAlignment="1" applyProtection="1">
      <alignment vertical="center"/>
    </xf>
    <xf numFmtId="166" fontId="15" fillId="0" borderId="0" xfId="1" applyNumberFormat="1" applyFont="1" applyAlignment="1" applyProtection="1">
      <alignment vertical="center"/>
    </xf>
    <xf numFmtId="0" fontId="14" fillId="0" borderId="0" xfId="1" applyFont="1" applyAlignment="1" applyProtection="1">
      <alignment vertical="center"/>
    </xf>
    <xf numFmtId="0" fontId="12" fillId="0" borderId="0" xfId="1" applyFont="1" applyAlignment="1" applyProtection="1">
      <alignment vertical="center"/>
    </xf>
    <xf numFmtId="166" fontId="14" fillId="0" borderId="0" xfId="1" applyNumberFormat="1" applyFont="1" applyAlignment="1" applyProtection="1">
      <alignment vertical="center"/>
    </xf>
    <xf numFmtId="166" fontId="15" fillId="0" borderId="0" xfId="1" applyNumberFormat="1" applyFont="1" applyFill="1" applyAlignment="1" applyProtection="1">
      <alignment vertical="center"/>
    </xf>
    <xf numFmtId="0" fontId="14" fillId="0" borderId="0" xfId="1" applyFont="1" applyFill="1" applyAlignment="1" applyProtection="1">
      <alignment vertical="center"/>
    </xf>
    <xf numFmtId="0" fontId="12" fillId="0" borderId="0" xfId="1" applyFont="1" applyFill="1" applyAlignment="1" applyProtection="1">
      <alignment vertical="center"/>
    </xf>
    <xf numFmtId="166" fontId="18" fillId="0" borderId="0" xfId="1" applyNumberFormat="1" applyFont="1" applyFill="1" applyAlignment="1" applyProtection="1">
      <alignment vertical="center"/>
    </xf>
    <xf numFmtId="0" fontId="18" fillId="0" borderId="0" xfId="1" applyFont="1" applyFill="1" applyAlignment="1" applyProtection="1">
      <alignment vertical="center"/>
    </xf>
    <xf numFmtId="166" fontId="19" fillId="0" borderId="0" xfId="1" applyNumberFormat="1" applyFont="1" applyFill="1" applyAlignment="1" applyProtection="1">
      <alignment vertical="center"/>
    </xf>
    <xf numFmtId="0" fontId="20" fillId="0" borderId="0" xfId="1" applyFont="1" applyFill="1" applyAlignment="1" applyProtection="1">
      <alignment vertical="center"/>
    </xf>
    <xf numFmtId="0" fontId="19" fillId="0" borderId="0" xfId="1" applyFont="1" applyFill="1" applyAlignment="1" applyProtection="1">
      <alignment vertical="center"/>
    </xf>
    <xf numFmtId="0" fontId="12" fillId="0" borderId="0" xfId="1" applyFont="1" applyFill="1" applyProtection="1"/>
    <xf numFmtId="0" fontId="3" fillId="0" borderId="0" xfId="1" applyFont="1" applyProtection="1"/>
    <xf numFmtId="164" fontId="3" fillId="0" borderId="0" xfId="1" applyNumberFormat="1" applyFont="1" applyAlignment="1" applyProtection="1">
      <alignment horizontal="left" vertical="center" wrapText="1"/>
    </xf>
    <xf numFmtId="164" fontId="13" fillId="0" borderId="0" xfId="1" applyNumberFormat="1" applyFont="1" applyAlignment="1" applyProtection="1">
      <alignment vertical="center" wrapText="1"/>
    </xf>
    <xf numFmtId="164" fontId="13" fillId="0" borderId="1" xfId="1" applyNumberFormat="1" applyFont="1" applyBorder="1" applyAlignment="1" applyProtection="1">
      <alignment vertical="center" wrapText="1"/>
    </xf>
    <xf numFmtId="164" fontId="3" fillId="0" borderId="1" xfId="1" applyNumberFormat="1" applyFont="1" applyBorder="1" applyAlignment="1" applyProtection="1">
      <alignment horizontal="right" vertical="center" wrapText="1"/>
    </xf>
    <xf numFmtId="0" fontId="13" fillId="0" borderId="9" xfId="1" applyFont="1" applyBorder="1" applyAlignment="1" applyProtection="1">
      <alignment horizontal="center" vertical="center" wrapText="1"/>
    </xf>
    <xf numFmtId="14" fontId="13" fillId="0" borderId="9" xfId="1" applyNumberFormat="1" applyFont="1" applyBorder="1" applyAlignment="1" applyProtection="1">
      <alignment horizontal="center" vertical="center" wrapText="1"/>
    </xf>
    <xf numFmtId="165" fontId="3" fillId="0" borderId="9" xfId="1" applyNumberFormat="1" applyFont="1" applyFill="1" applyBorder="1" applyAlignment="1" applyProtection="1">
      <alignment horizontal="center" vertical="center" wrapText="1"/>
    </xf>
    <xf numFmtId="0" fontId="3" fillId="0" borderId="0" xfId="1" applyFont="1" applyFill="1" applyProtection="1"/>
    <xf numFmtId="0" fontId="13" fillId="0" borderId="0" xfId="1" applyFont="1" applyFill="1" applyAlignment="1" applyProtection="1">
      <alignment vertical="center"/>
    </xf>
    <xf numFmtId="0" fontId="2" fillId="0" borderId="9" xfId="1" applyFont="1" applyFill="1" applyBorder="1" applyAlignment="1" applyProtection="1">
      <alignment vertical="center" wrapText="1"/>
    </xf>
    <xf numFmtId="0" fontId="3" fillId="0" borderId="0" xfId="1" applyFont="1" applyFill="1" applyAlignment="1" applyProtection="1">
      <alignment vertical="center"/>
    </xf>
    <xf numFmtId="0" fontId="2" fillId="0" borderId="9" xfId="1" applyFont="1" applyBorder="1" applyAlignment="1" applyProtection="1">
      <alignment vertical="center"/>
    </xf>
    <xf numFmtId="0" fontId="2" fillId="0" borderId="9" xfId="1" applyFont="1" applyBorder="1" applyAlignment="1" applyProtection="1">
      <alignment vertical="center" wrapText="1"/>
    </xf>
    <xf numFmtId="0" fontId="2" fillId="0" borderId="0" xfId="1" applyFont="1" applyAlignment="1" applyProtection="1">
      <alignment vertical="center"/>
    </xf>
    <xf numFmtId="0" fontId="21" fillId="0" borderId="9" xfId="1" applyFont="1" applyBorder="1" applyAlignment="1" applyProtection="1">
      <alignment vertical="center" wrapText="1"/>
    </xf>
    <xf numFmtId="166" fontId="3" fillId="0" borderId="0" xfId="1" applyNumberFormat="1" applyFont="1" applyAlignment="1" applyProtection="1">
      <alignment vertical="center"/>
    </xf>
    <xf numFmtId="0" fontId="3" fillId="0" borderId="0" xfId="1" applyFont="1" applyAlignment="1" applyProtection="1">
      <alignment vertical="center"/>
    </xf>
    <xf numFmtId="166" fontId="3" fillId="0" borderId="0" xfId="1" applyNumberFormat="1" applyFont="1" applyFill="1" applyAlignment="1" applyProtection="1">
      <alignment vertical="center"/>
    </xf>
    <xf numFmtId="0" fontId="2" fillId="2" borderId="9" xfId="1" applyFont="1" applyFill="1" applyBorder="1" applyAlignment="1" applyProtection="1">
      <alignment vertical="center" wrapText="1"/>
    </xf>
    <xf numFmtId="0" fontId="2" fillId="0" borderId="0" xfId="1" applyFont="1" applyProtection="1"/>
    <xf numFmtId="0" fontId="2" fillId="0" borderId="0" xfId="1" applyFont="1" applyAlignment="1" applyProtection="1">
      <alignment vertical="top"/>
    </xf>
    <xf numFmtId="0" fontId="22" fillId="0" borderId="0" xfId="1" applyFont="1" applyProtection="1"/>
    <xf numFmtId="165" fontId="3" fillId="0" borderId="9" xfId="1" applyNumberFormat="1" applyFont="1" applyBorder="1" applyAlignment="1" applyProtection="1">
      <alignment horizontal="center" vertical="center" wrapText="1"/>
    </xf>
    <xf numFmtId="0" fontId="13" fillId="0" borderId="9" xfId="1" applyFont="1" applyBorder="1" applyAlignment="1" applyProtection="1">
      <alignment horizontal="left" vertical="center" wrapText="1"/>
    </xf>
    <xf numFmtId="166" fontId="13" fillId="0" borderId="9" xfId="1" applyNumberFormat="1" applyFont="1" applyBorder="1" applyAlignment="1" applyProtection="1">
      <alignment horizontal="center" vertical="center"/>
    </xf>
    <xf numFmtId="166" fontId="13" fillId="0" borderId="9" xfId="1" applyNumberFormat="1" applyFont="1" applyBorder="1" applyAlignment="1" applyProtection="1">
      <alignment horizontal="center" vertical="center"/>
      <protection locked="0"/>
    </xf>
    <xf numFmtId="0" fontId="13" fillId="0" borderId="9" xfId="1" applyFont="1" applyBorder="1" applyAlignment="1" applyProtection="1">
      <alignment vertical="center" wrapText="1"/>
    </xf>
    <xf numFmtId="0" fontId="3" fillId="0" borderId="9" xfId="1" applyFont="1" applyBorder="1" applyAlignment="1" applyProtection="1">
      <alignment horizontal="left" vertical="center" wrapText="1"/>
    </xf>
    <xf numFmtId="166" fontId="3" fillId="0" borderId="9" xfId="1" applyNumberFormat="1" applyFont="1" applyBorder="1" applyAlignment="1" applyProtection="1">
      <alignment horizontal="center" vertical="center"/>
    </xf>
    <xf numFmtId="166" fontId="3" fillId="0" borderId="9" xfId="1" applyNumberFormat="1" applyFont="1" applyBorder="1" applyAlignment="1" applyProtection="1">
      <alignment horizontal="center" vertical="center"/>
      <protection locked="0"/>
    </xf>
    <xf numFmtId="0" fontId="3" fillId="0" borderId="9" xfId="1" applyFont="1" applyBorder="1" applyAlignment="1" applyProtection="1">
      <alignment vertical="center" wrapText="1"/>
    </xf>
    <xf numFmtId="0" fontId="3" fillId="2" borderId="9" xfId="1" applyFont="1" applyFill="1" applyBorder="1" applyAlignment="1" applyProtection="1">
      <alignment horizontal="left" vertical="center" wrapText="1"/>
    </xf>
    <xf numFmtId="0" fontId="22" fillId="0" borderId="9" xfId="1" applyFont="1" applyBorder="1" applyAlignment="1" applyProtection="1">
      <alignment vertical="center"/>
    </xf>
    <xf numFmtId="166" fontId="3" fillId="0" borderId="9" xfId="1" applyNumberFormat="1" applyFont="1" applyFill="1" applyBorder="1" applyAlignment="1" applyProtection="1">
      <alignment horizontal="center" vertical="center"/>
      <protection locked="0"/>
    </xf>
    <xf numFmtId="0" fontId="24" fillId="0" borderId="9" xfId="1" applyFont="1" applyBorder="1" applyAlignment="1" applyProtection="1">
      <alignment vertical="center"/>
    </xf>
    <xf numFmtId="0" fontId="13" fillId="0" borderId="9" xfId="1" applyFont="1" applyFill="1" applyBorder="1" applyAlignment="1" applyProtection="1">
      <alignment horizontal="left" vertical="center" wrapText="1"/>
    </xf>
    <xf numFmtId="166" fontId="13" fillId="0" borderId="9" xfId="1" applyNumberFormat="1" applyFont="1" applyFill="1" applyBorder="1" applyAlignment="1" applyProtection="1">
      <alignment horizontal="center" vertical="center"/>
    </xf>
    <xf numFmtId="166" fontId="13" fillId="0" borderId="9" xfId="1" applyNumberFormat="1" applyFont="1" applyFill="1" applyBorder="1" applyAlignment="1" applyProtection="1">
      <alignment horizontal="center" vertical="center"/>
      <protection locked="0"/>
    </xf>
    <xf numFmtId="0" fontId="13" fillId="0" borderId="9" xfId="1" applyFont="1" applyFill="1" applyBorder="1" applyAlignment="1" applyProtection="1">
      <alignment vertical="center" wrapText="1"/>
    </xf>
    <xf numFmtId="0" fontId="3" fillId="0" borderId="9" xfId="1" applyFont="1" applyFill="1" applyBorder="1" applyAlignment="1" applyProtection="1">
      <alignment horizontal="left" vertical="center" wrapText="1"/>
    </xf>
    <xf numFmtId="166" fontId="3" fillId="0" borderId="9" xfId="1" applyNumberFormat="1" applyFont="1" applyFill="1" applyBorder="1" applyAlignment="1" applyProtection="1">
      <alignment horizontal="center" vertical="center"/>
    </xf>
    <xf numFmtId="0" fontId="3" fillId="0" borderId="9" xfId="1" applyFont="1" applyFill="1" applyBorder="1" applyAlignment="1" applyProtection="1">
      <alignment vertical="center" wrapText="1"/>
    </xf>
    <xf numFmtId="166" fontId="13" fillId="0" borderId="0" xfId="1" applyNumberFormat="1" applyFont="1" applyAlignment="1" applyProtection="1">
      <alignment vertical="center"/>
    </xf>
    <xf numFmtId="0" fontId="13" fillId="0" borderId="0" xfId="1" applyFont="1" applyAlignment="1" applyProtection="1">
      <alignment vertical="center"/>
    </xf>
    <xf numFmtId="0" fontId="2" fillId="2" borderId="9" xfId="1" applyFont="1" applyFill="1" applyBorder="1" applyAlignment="1" applyProtection="1">
      <alignment vertical="center"/>
    </xf>
    <xf numFmtId="166" fontId="2" fillId="0" borderId="0" xfId="1" applyNumberFormat="1" applyFont="1" applyFill="1" applyAlignment="1" applyProtection="1">
      <alignment vertical="center"/>
    </xf>
    <xf numFmtId="0" fontId="2" fillId="0" borderId="0" xfId="1" applyFont="1" applyFill="1" applyAlignment="1" applyProtection="1">
      <alignment vertical="center"/>
    </xf>
    <xf numFmtId="0" fontId="13" fillId="2" borderId="9" xfId="1" applyFont="1" applyFill="1" applyBorder="1" applyAlignment="1" applyProtection="1">
      <alignment horizontal="left" vertical="center" wrapText="1"/>
    </xf>
    <xf numFmtId="166" fontId="13" fillId="2" borderId="9" xfId="1" applyNumberFormat="1" applyFont="1" applyFill="1" applyBorder="1" applyAlignment="1" applyProtection="1">
      <alignment horizontal="center" vertical="center"/>
    </xf>
    <xf numFmtId="166" fontId="13" fillId="2" borderId="9" xfId="1" applyNumberFormat="1" applyFont="1" applyFill="1" applyBorder="1" applyAlignment="1" applyProtection="1">
      <alignment horizontal="center" vertical="center"/>
      <protection locked="0"/>
    </xf>
    <xf numFmtId="0" fontId="13" fillId="2" borderId="9" xfId="1" applyFont="1" applyFill="1" applyBorder="1" applyAlignment="1" applyProtection="1">
      <alignment vertical="center" wrapText="1"/>
    </xf>
    <xf numFmtId="166" fontId="3" fillId="2" borderId="9" xfId="1" applyNumberFormat="1" applyFont="1" applyFill="1" applyBorder="1" applyAlignment="1" applyProtection="1">
      <alignment horizontal="center" vertical="center"/>
    </xf>
    <xf numFmtId="166" fontId="3" fillId="2" borderId="9" xfId="1" applyNumberFormat="1" applyFont="1" applyFill="1" applyBorder="1" applyAlignment="1" applyProtection="1">
      <alignment horizontal="center" vertical="center"/>
      <protection locked="0"/>
    </xf>
    <xf numFmtId="0" fontId="3" fillId="2" borderId="9" xfId="1" applyFont="1" applyFill="1" applyBorder="1" applyAlignment="1" applyProtection="1">
      <alignment vertical="center" wrapText="1"/>
    </xf>
    <xf numFmtId="0" fontId="13" fillId="0" borderId="5" xfId="1" applyFont="1" applyBorder="1" applyAlignment="1" applyProtection="1">
      <alignment horizontal="center" vertical="center"/>
    </xf>
    <xf numFmtId="0" fontId="2" fillId="0" borderId="9" xfId="1" applyFont="1" applyFill="1" applyBorder="1" applyAlignment="1" applyProtection="1">
      <alignment vertical="center"/>
    </xf>
    <xf numFmtId="0" fontId="13" fillId="0" borderId="5" xfId="1" applyFont="1" applyFill="1" applyBorder="1" applyAlignment="1" applyProtection="1">
      <alignment horizontal="center" vertical="center"/>
    </xf>
    <xf numFmtId="0" fontId="24" fillId="0" borderId="9" xfId="1" applyFont="1" applyBorder="1" applyProtection="1"/>
    <xf numFmtId="0" fontId="24" fillId="0" borderId="0" xfId="1" applyFont="1" applyProtection="1"/>
    <xf numFmtId="164" fontId="21" fillId="0" borderId="0" xfId="1" applyNumberFormat="1" applyFont="1" applyAlignment="1" applyProtection="1">
      <alignment vertical="center" wrapText="1"/>
    </xf>
    <xf numFmtId="164" fontId="21" fillId="0" borderId="1" xfId="1" applyNumberFormat="1" applyFont="1" applyBorder="1" applyAlignment="1" applyProtection="1">
      <alignment vertical="center" wrapText="1"/>
    </xf>
    <xf numFmtId="164" fontId="2" fillId="0" borderId="1" xfId="1" applyNumberFormat="1" applyFont="1" applyBorder="1" applyAlignment="1" applyProtection="1">
      <alignment horizontal="right" vertical="center" wrapText="1"/>
    </xf>
    <xf numFmtId="164" fontId="2" fillId="0" borderId="0" xfId="1" applyNumberFormat="1" applyFont="1" applyAlignment="1" applyProtection="1">
      <alignment horizontal="left" vertical="center" wrapText="1"/>
    </xf>
    <xf numFmtId="0" fontId="13" fillId="0" borderId="9" xfId="1" applyFont="1" applyBorder="1" applyAlignment="1" applyProtection="1">
      <alignment horizontal="left" vertical="top" wrapText="1"/>
    </xf>
    <xf numFmtId="166" fontId="13" fillId="0" borderId="9" xfId="1" applyNumberFormat="1" applyFont="1" applyBorder="1" applyAlignment="1" applyProtection="1">
      <alignment horizontal="center"/>
    </xf>
    <xf numFmtId="166" fontId="13" fillId="0" borderId="9" xfId="1" applyNumberFormat="1" applyFont="1" applyBorder="1" applyAlignment="1" applyProtection="1">
      <alignment horizontal="center"/>
      <protection locked="0"/>
    </xf>
    <xf numFmtId="0" fontId="13" fillId="0" borderId="0" xfId="1" applyFont="1" applyProtection="1"/>
    <xf numFmtId="0" fontId="3" fillId="0" borderId="9" xfId="1" applyFont="1" applyBorder="1" applyAlignment="1" applyProtection="1">
      <alignment horizontal="left" vertical="top" wrapText="1"/>
    </xf>
    <xf numFmtId="166" fontId="3" fillId="0" borderId="9" xfId="1" applyNumberFormat="1" applyFont="1" applyBorder="1" applyAlignment="1" applyProtection="1">
      <alignment horizontal="center"/>
    </xf>
    <xf numFmtId="166" fontId="3" fillId="0" borderId="9" xfId="1" applyNumberFormat="1" applyFont="1" applyBorder="1" applyAlignment="1" applyProtection="1">
      <alignment horizontal="center"/>
      <protection locked="0"/>
    </xf>
    <xf numFmtId="0" fontId="3" fillId="0" borderId="9" xfId="1" applyFont="1" applyBorder="1" applyProtection="1"/>
    <xf numFmtId="166" fontId="13" fillId="0" borderId="0" xfId="1" applyNumberFormat="1" applyFont="1" applyProtection="1"/>
    <xf numFmtId="166" fontId="3" fillId="0" borderId="0" xfId="1" applyNumberFormat="1" applyFont="1" applyProtection="1"/>
    <xf numFmtId="0" fontId="3" fillId="0" borderId="9" xfId="1" applyFont="1" applyBorder="1" applyAlignment="1" applyProtection="1">
      <alignment vertical="center"/>
    </xf>
    <xf numFmtId="0" fontId="13" fillId="0" borderId="9" xfId="1" applyFont="1" applyFill="1" applyBorder="1" applyAlignment="1" applyProtection="1">
      <alignment horizontal="left" vertical="top" wrapText="1"/>
    </xf>
    <xf numFmtId="166" fontId="13" fillId="0" borderId="9" xfId="1" applyNumberFormat="1" applyFont="1" applyFill="1" applyBorder="1" applyAlignment="1" applyProtection="1">
      <alignment horizontal="center"/>
    </xf>
    <xf numFmtId="166" fontId="13" fillId="0" borderId="9" xfId="1" applyNumberFormat="1" applyFont="1" applyFill="1" applyBorder="1" applyAlignment="1" applyProtection="1">
      <alignment horizontal="center"/>
      <protection locked="0"/>
    </xf>
    <xf numFmtId="0" fontId="3" fillId="0" borderId="9" xfId="1" applyFont="1" applyBorder="1" applyAlignment="1" applyProtection="1">
      <alignment horizontal="justify" vertical="center" wrapText="1"/>
    </xf>
    <xf numFmtId="0" fontId="3" fillId="0" borderId="9" xfId="1" applyFont="1" applyFill="1" applyBorder="1" applyAlignment="1" applyProtection="1">
      <alignment horizontal="left" vertical="top" wrapText="1"/>
    </xf>
    <xf numFmtId="166" fontId="3" fillId="0" borderId="9" xfId="1" applyNumberFormat="1" applyFont="1" applyFill="1" applyBorder="1" applyAlignment="1" applyProtection="1">
      <alignment horizontal="center"/>
    </xf>
    <xf numFmtId="166" fontId="3" fillId="0" borderId="9" xfId="1" applyNumberFormat="1" applyFont="1" applyFill="1" applyBorder="1" applyAlignment="1" applyProtection="1">
      <alignment horizontal="center"/>
      <protection locked="0"/>
    </xf>
    <xf numFmtId="0" fontId="21" fillId="0" borderId="5" xfId="1" applyFont="1" applyBorder="1" applyAlignment="1" applyProtection="1">
      <alignment horizontal="center" vertical="center"/>
    </xf>
    <xf numFmtId="0" fontId="13" fillId="0" borderId="5" xfId="1" applyFont="1" applyBorder="1" applyAlignment="1" applyProtection="1">
      <alignment horizontal="center" vertical="center"/>
    </xf>
    <xf numFmtId="0" fontId="3" fillId="0" borderId="5" xfId="1" applyFont="1" applyBorder="1" applyAlignment="1" applyProtection="1">
      <alignment horizontal="center" vertical="center"/>
    </xf>
    <xf numFmtId="0" fontId="13" fillId="0" borderId="5" xfId="1" applyFont="1" applyBorder="1" applyAlignment="1" applyProtection="1">
      <alignment horizontal="center" vertical="center"/>
    </xf>
    <xf numFmtId="0" fontId="25" fillId="0" borderId="0" xfId="1" applyFont="1" applyAlignment="1" applyProtection="1">
      <alignment horizontal="left" vertical="top" wrapText="1"/>
    </xf>
    <xf numFmtId="0" fontId="3" fillId="0" borderId="0" xfId="1" applyFont="1" applyFill="1" applyAlignment="1" applyProtection="1">
      <alignment horizontal="justify" vertical="center" wrapText="1"/>
    </xf>
    <xf numFmtId="0" fontId="13" fillId="0" borderId="9" xfId="1" applyFont="1" applyFill="1" applyBorder="1" applyAlignment="1" applyProtection="1">
      <alignment horizontal="center" vertical="center" wrapText="1"/>
    </xf>
    <xf numFmtId="165" fontId="25" fillId="0" borderId="9" xfId="1" applyNumberFormat="1" applyFont="1" applyFill="1" applyBorder="1" applyAlignment="1" applyProtection="1">
      <alignment horizontal="center" vertical="center" wrapText="1"/>
    </xf>
    <xf numFmtId="0" fontId="26" fillId="0" borderId="9" xfId="1" applyFont="1" applyFill="1" applyBorder="1" applyAlignment="1" applyProtection="1">
      <alignment horizontal="left" vertical="center" wrapText="1"/>
    </xf>
    <xf numFmtId="0" fontId="25" fillId="0" borderId="9" xfId="1" applyFont="1" applyFill="1" applyBorder="1" applyAlignment="1" applyProtection="1">
      <alignment horizontal="left" vertical="center" wrapText="1"/>
    </xf>
    <xf numFmtId="0" fontId="26" fillId="0" borderId="9" xfId="1" applyFont="1" applyBorder="1" applyAlignment="1" applyProtection="1">
      <alignment horizontal="left" vertical="center" wrapText="1"/>
    </xf>
    <xf numFmtId="0" fontId="25" fillId="0" borderId="9" xfId="1" applyFont="1" applyBorder="1" applyAlignment="1" applyProtection="1">
      <alignment horizontal="left" vertical="center" wrapText="1"/>
    </xf>
    <xf numFmtId="0" fontId="13" fillId="0" borderId="5" xfId="1" applyFont="1" applyBorder="1" applyAlignment="1" applyProtection="1">
      <alignment vertical="center"/>
    </xf>
    <xf numFmtId="0" fontId="13" fillId="0" borderId="8" xfId="1" applyFont="1" applyBorder="1" applyAlignment="1" applyProtection="1">
      <alignment vertical="center"/>
    </xf>
    <xf numFmtId="0" fontId="3" fillId="0" borderId="9" xfId="1" applyFont="1" applyFill="1" applyBorder="1" applyAlignment="1" applyProtection="1">
      <alignment vertical="center"/>
    </xf>
    <xf numFmtId="0" fontId="10" fillId="0" borderId="0" xfId="1" applyFont="1" applyFill="1" applyProtection="1"/>
    <xf numFmtId="0" fontId="29" fillId="0" borderId="0" xfId="1" applyFont="1" applyAlignment="1" applyProtection="1">
      <alignment vertical="center"/>
    </xf>
    <xf numFmtId="0" fontId="23" fillId="0" borderId="9" xfId="1" applyFont="1" applyFill="1" applyBorder="1" applyAlignment="1" applyProtection="1">
      <alignment horizontal="center" vertical="center"/>
    </xf>
    <xf numFmtId="166" fontId="11" fillId="0" borderId="0" xfId="1" applyNumberFormat="1" applyFont="1" applyFill="1" applyAlignment="1" applyProtection="1">
      <alignment vertical="center"/>
    </xf>
    <xf numFmtId="0" fontId="10" fillId="0" borderId="0" xfId="1" applyFont="1" applyFill="1" applyAlignment="1" applyProtection="1">
      <alignment vertical="center"/>
    </xf>
    <xf numFmtId="166" fontId="3" fillId="0" borderId="9" xfId="1" applyNumberFormat="1" applyFont="1" applyFill="1" applyBorder="1" applyAlignment="1" applyProtection="1">
      <alignment horizontal="center" wrapText="1"/>
      <protection locked="0"/>
    </xf>
    <xf numFmtId="0" fontId="13" fillId="0" borderId="9" xfId="1" applyFont="1" applyFill="1" applyBorder="1" applyAlignment="1" applyProtection="1">
      <alignment horizontal="center" vertical="center"/>
    </xf>
    <xf numFmtId="166" fontId="2" fillId="0" borderId="0" xfId="1" applyNumberFormat="1" applyFont="1" applyProtection="1"/>
    <xf numFmtId="0" fontId="21" fillId="0" borderId="0" xfId="1" applyFont="1" applyProtection="1"/>
    <xf numFmtId="0" fontId="2" fillId="0" borderId="9" xfId="1" applyFont="1" applyBorder="1" applyAlignment="1" applyProtection="1">
      <alignment horizontal="justify" vertical="center" wrapText="1"/>
    </xf>
    <xf numFmtId="0" fontId="30" fillId="0" borderId="9" xfId="1" applyFont="1" applyBorder="1" applyAlignment="1" applyProtection="1">
      <alignment horizontal="left" vertical="center" wrapText="1"/>
    </xf>
    <xf numFmtId="166" fontId="2" fillId="0" borderId="9" xfId="1" applyNumberFormat="1" applyFont="1" applyFill="1" applyBorder="1" applyAlignment="1" applyProtection="1">
      <alignment horizontal="center" vertical="center"/>
    </xf>
    <xf numFmtId="166" fontId="2" fillId="0" borderId="9" xfId="1" applyNumberFormat="1" applyFont="1" applyBorder="1" applyAlignment="1" applyProtection="1">
      <alignment horizontal="center" vertical="center"/>
    </xf>
    <xf numFmtId="166" fontId="2" fillId="0" borderId="9" xfId="1" applyNumberFormat="1" applyFont="1" applyFill="1" applyBorder="1" applyAlignment="1" applyProtection="1">
      <alignment horizontal="center" vertical="center"/>
      <protection locked="0"/>
    </xf>
    <xf numFmtId="0" fontId="31" fillId="0" borderId="9" xfId="1" applyFont="1" applyBorder="1" applyAlignment="1" applyProtection="1">
      <alignment vertical="center" wrapText="1"/>
    </xf>
    <xf numFmtId="0" fontId="31" fillId="0" borderId="9" xfId="1" applyFont="1" applyBorder="1" applyAlignment="1" applyProtection="1">
      <alignment horizontal="left" vertical="center" wrapText="1"/>
    </xf>
    <xf numFmtId="0" fontId="32" fillId="0" borderId="9" xfId="1" applyFont="1" applyBorder="1" applyAlignment="1" applyProtection="1">
      <alignment vertical="center" wrapText="1"/>
    </xf>
    <xf numFmtId="0" fontId="22" fillId="0" borderId="0" xfId="1" applyFont="1" applyFill="1" applyProtection="1"/>
    <xf numFmtId="164" fontId="13" fillId="0" borderId="0" xfId="1" applyNumberFormat="1" applyFont="1" applyFill="1" applyAlignment="1" applyProtection="1">
      <alignment vertical="center" wrapText="1"/>
    </xf>
    <xf numFmtId="164" fontId="13" fillId="0" borderId="1" xfId="1" applyNumberFormat="1" applyFont="1" applyFill="1" applyBorder="1" applyAlignment="1" applyProtection="1">
      <alignment vertical="center" wrapText="1"/>
    </xf>
    <xf numFmtId="164" fontId="3" fillId="0" borderId="1" xfId="1" applyNumberFormat="1" applyFont="1" applyFill="1" applyBorder="1" applyAlignment="1" applyProtection="1">
      <alignment horizontal="right" vertical="center" wrapText="1"/>
    </xf>
    <xf numFmtId="14" fontId="13" fillId="0" borderId="9" xfId="1" applyNumberFormat="1" applyFont="1" applyFill="1" applyBorder="1" applyAlignment="1" applyProtection="1">
      <alignment horizontal="center" vertical="center" wrapText="1"/>
    </xf>
    <xf numFmtId="49" fontId="13" fillId="0" borderId="9" xfId="1" applyNumberFormat="1" applyFont="1" applyFill="1" applyBorder="1" applyAlignment="1" applyProtection="1">
      <alignment horizontal="center" vertical="center" wrapText="1"/>
    </xf>
    <xf numFmtId="0" fontId="13" fillId="0" borderId="5" xfId="1" applyFont="1" applyBorder="1" applyAlignment="1" applyProtection="1">
      <alignment horizontal="center" vertical="center"/>
    </xf>
    <xf numFmtId="0" fontId="13" fillId="0" borderId="5" xfId="1" applyFont="1" applyFill="1" applyBorder="1" applyAlignment="1" applyProtection="1">
      <alignment horizontal="center" vertical="center"/>
    </xf>
    <xf numFmtId="0" fontId="3" fillId="0" borderId="5" xfId="1" applyFont="1" applyBorder="1" applyAlignment="1" applyProtection="1">
      <alignment horizontal="center" vertical="center"/>
    </xf>
    <xf numFmtId="0" fontId="21" fillId="0" borderId="5" xfId="1" applyFont="1" applyBorder="1" applyAlignment="1" applyProtection="1">
      <alignment horizontal="center" vertical="center"/>
    </xf>
    <xf numFmtId="166" fontId="2" fillId="0" borderId="9" xfId="1" applyNumberFormat="1" applyFont="1" applyBorder="1" applyAlignment="1" applyProtection="1">
      <alignment horizontal="center" vertical="center"/>
      <protection locked="0"/>
    </xf>
    <xf numFmtId="0" fontId="21" fillId="0" borderId="9" xfId="1" applyFont="1" applyFill="1" applyBorder="1" applyAlignment="1" applyProtection="1">
      <alignment vertical="center" wrapText="1"/>
    </xf>
    <xf numFmtId="0" fontId="23" fillId="0" borderId="9" xfId="1" applyFont="1" applyBorder="1" applyAlignment="1" applyProtection="1">
      <alignment horizontal="center" vertical="center"/>
    </xf>
    <xf numFmtId="166" fontId="29" fillId="0" borderId="0" xfId="1" applyNumberFormat="1" applyFont="1" applyAlignment="1" applyProtection="1">
      <alignment vertical="center"/>
    </xf>
    <xf numFmtId="166" fontId="3" fillId="0" borderId="9" xfId="1" applyNumberFormat="1" applyFont="1" applyFill="1" applyBorder="1" applyAlignment="1" applyProtection="1">
      <alignment horizontal="center" vertical="center" wrapText="1"/>
      <protection locked="0"/>
    </xf>
    <xf numFmtId="166" fontId="3" fillId="0" borderId="0" xfId="1" applyNumberFormat="1" applyFont="1" applyAlignment="1" applyProtection="1">
      <alignment horizontal="justify" vertical="center" wrapText="1"/>
    </xf>
    <xf numFmtId="166" fontId="14" fillId="0" borderId="0" xfId="1" applyNumberFormat="1" applyFont="1" applyFill="1" applyAlignment="1" applyProtection="1">
      <alignment vertical="center"/>
    </xf>
    <xf numFmtId="0" fontId="13" fillId="0" borderId="5" xfId="1" applyFont="1" applyBorder="1" applyAlignment="1" applyProtection="1">
      <alignment horizontal="center" vertical="center"/>
    </xf>
    <xf numFmtId="0" fontId="3" fillId="0" borderId="5" xfId="1" applyFont="1" applyBorder="1" applyAlignment="1" applyProtection="1">
      <alignment horizontal="center" vertical="center"/>
    </xf>
    <xf numFmtId="0" fontId="2" fillId="0" borderId="5" xfId="1" applyFont="1" applyBorder="1" applyAlignment="1" applyProtection="1">
      <alignment horizontal="center" vertical="center"/>
    </xf>
    <xf numFmtId="0" fontId="36" fillId="0" borderId="9" xfId="1" applyFont="1" applyBorder="1" applyAlignment="1" applyProtection="1">
      <alignment horizontal="left" vertical="center" wrapText="1"/>
    </xf>
    <xf numFmtId="166" fontId="35" fillId="0" borderId="9" xfId="1" applyNumberFormat="1" applyFont="1" applyFill="1" applyBorder="1" applyAlignment="1" applyProtection="1">
      <alignment horizontal="center" vertical="center"/>
    </xf>
    <xf numFmtId="166" fontId="35" fillId="0" borderId="9" xfId="1" applyNumberFormat="1" applyFont="1" applyBorder="1" applyAlignment="1" applyProtection="1">
      <alignment horizontal="center" vertical="center"/>
    </xf>
    <xf numFmtId="0" fontId="35" fillId="0" borderId="9" xfId="1" applyFont="1" applyBorder="1" applyAlignment="1" applyProtection="1">
      <alignment vertical="center" wrapText="1"/>
    </xf>
    <xf numFmtId="166" fontId="34" fillId="0" borderId="0" xfId="1" applyNumberFormat="1" applyFont="1" applyAlignment="1" applyProtection="1">
      <alignment vertical="center"/>
    </xf>
    <xf numFmtId="0" fontId="34" fillId="0" borderId="0" xfId="1" applyFont="1" applyAlignment="1" applyProtection="1">
      <alignment vertical="center"/>
    </xf>
    <xf numFmtId="0" fontId="37" fillId="0" borderId="9" xfId="1" applyFont="1" applyBorder="1" applyAlignment="1" applyProtection="1">
      <alignment horizontal="left" vertical="center" wrapText="1"/>
    </xf>
    <xf numFmtId="166" fontId="38" fillId="0" borderId="9" xfId="1" applyNumberFormat="1" applyFont="1" applyFill="1" applyBorder="1" applyAlignment="1" applyProtection="1">
      <alignment horizontal="center" vertical="center"/>
    </xf>
    <xf numFmtId="166" fontId="38" fillId="0" borderId="9" xfId="1" applyNumberFormat="1" applyFont="1" applyBorder="1" applyAlignment="1" applyProtection="1">
      <alignment horizontal="center" vertical="center"/>
    </xf>
    <xf numFmtId="0" fontId="38" fillId="0" borderId="9" xfId="1" applyFont="1" applyBorder="1" applyAlignment="1" applyProtection="1">
      <alignment vertical="center" wrapText="1"/>
    </xf>
    <xf numFmtId="166" fontId="39" fillId="0" borderId="0" xfId="1" applyNumberFormat="1" applyFont="1" applyAlignment="1" applyProtection="1">
      <alignment vertical="center"/>
    </xf>
    <xf numFmtId="0" fontId="1" fillId="0" borderId="0" xfId="1" applyFont="1" applyAlignment="1" applyProtection="1">
      <alignment vertical="center"/>
    </xf>
    <xf numFmtId="166" fontId="35" fillId="0" borderId="9" xfId="1" applyNumberFormat="1" applyFont="1" applyBorder="1" applyAlignment="1" applyProtection="1">
      <alignment horizontal="center" vertical="center"/>
      <protection locked="0"/>
    </xf>
    <xf numFmtId="166" fontId="38" fillId="0" borderId="9" xfId="1" applyNumberFormat="1" applyFont="1" applyBorder="1" applyAlignment="1" applyProtection="1">
      <alignment horizontal="center" vertical="center"/>
      <protection locked="0"/>
    </xf>
    <xf numFmtId="0" fontId="38" fillId="0" borderId="5" xfId="1" applyFont="1" applyBorder="1" applyAlignment="1" applyProtection="1">
      <alignment horizontal="center" vertical="center"/>
    </xf>
    <xf numFmtId="0" fontId="13" fillId="0" borderId="9" xfId="1" applyFont="1" applyBorder="1" applyAlignment="1" applyProtection="1">
      <alignment horizontal="justify" vertical="center" wrapText="1"/>
    </xf>
    <xf numFmtId="0" fontId="13" fillId="0" borderId="9" xfId="1" applyNumberFormat="1" applyFont="1" applyFill="1" applyBorder="1" applyAlignment="1" applyProtection="1">
      <alignment horizontal="justify" vertical="center"/>
    </xf>
    <xf numFmtId="166" fontId="3" fillId="3" borderId="9" xfId="1" applyNumberFormat="1" applyFont="1" applyFill="1" applyBorder="1" applyAlignment="1" applyProtection="1">
      <alignment horizontal="center"/>
    </xf>
    <xf numFmtId="166" fontId="3" fillId="3" borderId="9" xfId="1" applyNumberFormat="1" applyFont="1" applyFill="1" applyBorder="1" applyAlignment="1" applyProtection="1">
      <alignment horizontal="center"/>
      <protection locked="0"/>
    </xf>
    <xf numFmtId="0" fontId="26" fillId="4" borderId="9" xfId="1" applyFont="1" applyFill="1" applyBorder="1" applyAlignment="1" applyProtection="1">
      <alignment horizontal="left" vertical="center" wrapText="1"/>
    </xf>
    <xf numFmtId="166" fontId="13" fillId="4" borderId="9" xfId="1" applyNumberFormat="1" applyFont="1" applyFill="1" applyBorder="1" applyAlignment="1" applyProtection="1">
      <alignment horizontal="center" vertical="center"/>
    </xf>
    <xf numFmtId="166" fontId="13" fillId="4" borderId="9" xfId="1" applyNumberFormat="1" applyFont="1" applyFill="1" applyBorder="1" applyAlignment="1" applyProtection="1">
      <alignment horizontal="center" vertical="center"/>
      <protection locked="0"/>
    </xf>
    <xf numFmtId="0" fontId="25" fillId="4" borderId="9" xfId="1" applyFont="1" applyFill="1" applyBorder="1" applyAlignment="1" applyProtection="1">
      <alignment horizontal="left" vertical="center" wrapText="1"/>
    </xf>
    <xf numFmtId="166" fontId="3" fillId="4" borderId="9" xfId="1" applyNumberFormat="1" applyFont="1" applyFill="1" applyBorder="1" applyAlignment="1" applyProtection="1">
      <alignment horizontal="center" vertical="center"/>
    </xf>
    <xf numFmtId="0" fontId="26" fillId="5" borderId="9" xfId="1" applyFont="1" applyFill="1" applyBorder="1" applyAlignment="1" applyProtection="1">
      <alignment horizontal="left" vertical="center" wrapText="1"/>
    </xf>
    <xf numFmtId="166" fontId="13" fillId="5" borderId="9" xfId="1" applyNumberFormat="1" applyFont="1" applyFill="1" applyBorder="1" applyAlignment="1" applyProtection="1">
      <alignment horizontal="center" vertical="center"/>
    </xf>
    <xf numFmtId="166" fontId="13" fillId="5" borderId="9" xfId="1" applyNumberFormat="1" applyFont="1" applyFill="1" applyBorder="1" applyAlignment="1" applyProtection="1">
      <alignment horizontal="center" vertical="center"/>
      <protection locked="0"/>
    </xf>
    <xf numFmtId="0" fontId="25" fillId="5" borderId="9" xfId="1" applyFont="1" applyFill="1" applyBorder="1" applyAlignment="1" applyProtection="1">
      <alignment horizontal="left" vertical="center" wrapText="1"/>
    </xf>
    <xf numFmtId="166" fontId="3" fillId="5" borderId="9" xfId="1" applyNumberFormat="1" applyFont="1" applyFill="1" applyBorder="1" applyAlignment="1" applyProtection="1">
      <alignment horizontal="center" vertical="center"/>
    </xf>
    <xf numFmtId="166" fontId="3" fillId="4" borderId="9" xfId="1" applyNumberFormat="1" applyFont="1" applyFill="1" applyBorder="1" applyAlignment="1" applyProtection="1">
      <alignment horizontal="center" vertical="center"/>
      <protection locked="0"/>
    </xf>
    <xf numFmtId="0" fontId="36" fillId="4" borderId="9" xfId="1" applyFont="1" applyFill="1" applyBorder="1" applyAlignment="1" applyProtection="1">
      <alignment horizontal="left" vertical="center" wrapText="1"/>
    </xf>
    <xf numFmtId="166" fontId="35" fillId="4" borderId="9" xfId="1" applyNumberFormat="1" applyFont="1" applyFill="1" applyBorder="1" applyAlignment="1" applyProtection="1">
      <alignment horizontal="center" vertical="center"/>
    </xf>
    <xf numFmtId="0" fontId="37" fillId="4" borderId="2" xfId="1" applyFont="1" applyFill="1" applyBorder="1" applyAlignment="1" applyProtection="1">
      <alignment horizontal="left" vertical="center" wrapText="1"/>
    </xf>
    <xf numFmtId="166" fontId="38" fillId="4" borderId="2" xfId="1" applyNumberFormat="1" applyFont="1" applyFill="1" applyBorder="1" applyAlignment="1" applyProtection="1">
      <alignment horizontal="center" vertical="center"/>
    </xf>
    <xf numFmtId="166" fontId="38" fillId="4" borderId="2" xfId="1" applyNumberFormat="1" applyFont="1" applyFill="1" applyBorder="1" applyAlignment="1" applyProtection="1">
      <alignment horizontal="center" vertical="center"/>
      <protection locked="0"/>
    </xf>
    <xf numFmtId="0" fontId="3" fillId="0" borderId="8" xfId="1" applyFont="1" applyBorder="1" applyAlignment="1" applyProtection="1">
      <alignment vertical="center" wrapText="1"/>
    </xf>
    <xf numFmtId="0" fontId="35" fillId="4" borderId="9" xfId="1" applyFont="1" applyFill="1" applyBorder="1" applyAlignment="1" applyProtection="1">
      <alignment vertical="center" wrapText="1"/>
    </xf>
    <xf numFmtId="0" fontId="38" fillId="4" borderId="9" xfId="1" applyFont="1" applyFill="1" applyBorder="1" applyAlignment="1" applyProtection="1">
      <alignment vertical="center" wrapText="1"/>
    </xf>
    <xf numFmtId="0" fontId="13" fillId="4" borderId="9" xfId="1" applyFont="1" applyFill="1" applyBorder="1" applyAlignment="1" applyProtection="1">
      <alignment vertical="center" wrapText="1"/>
    </xf>
    <xf numFmtId="0" fontId="2" fillId="7" borderId="0" xfId="1" applyFont="1" applyFill="1" applyAlignment="1" applyProtection="1">
      <alignment vertical="center" wrapText="1"/>
    </xf>
    <xf numFmtId="49" fontId="13" fillId="7" borderId="9" xfId="1" applyNumberFormat="1" applyFont="1" applyFill="1" applyBorder="1" applyAlignment="1" applyProtection="1">
      <alignment horizontal="center" vertical="center" wrapText="1"/>
    </xf>
    <xf numFmtId="165" fontId="3" fillId="7" borderId="9" xfId="1" applyNumberFormat="1" applyFont="1" applyFill="1" applyBorder="1" applyAlignment="1" applyProtection="1">
      <alignment horizontal="center" vertical="center" wrapText="1"/>
    </xf>
    <xf numFmtId="166" fontId="13" fillId="7" borderId="9" xfId="1" applyNumberFormat="1" applyFont="1" applyFill="1" applyBorder="1" applyAlignment="1" applyProtection="1">
      <alignment horizontal="center" vertical="center"/>
      <protection locked="0"/>
    </xf>
    <xf numFmtId="166" fontId="13" fillId="7" borderId="9" xfId="1" applyNumberFormat="1" applyFont="1" applyFill="1" applyBorder="1" applyAlignment="1" applyProtection="1">
      <alignment horizontal="center" vertical="center"/>
    </xf>
    <xf numFmtId="166" fontId="3" fillId="7" borderId="9" xfId="1" applyNumberFormat="1" applyFont="1" applyFill="1" applyBorder="1" applyAlignment="1" applyProtection="1">
      <alignment horizontal="center" vertical="center"/>
      <protection locked="0"/>
    </xf>
    <xf numFmtId="0" fontId="10" fillId="7" borderId="0" xfId="1" applyFont="1" applyFill="1" applyProtection="1"/>
    <xf numFmtId="0" fontId="13" fillId="8" borderId="9" xfId="1" applyFont="1" applyFill="1" applyBorder="1" applyAlignment="1" applyProtection="1">
      <alignment horizontal="left" vertical="center" wrapText="1"/>
    </xf>
    <xf numFmtId="166" fontId="13" fillId="8" borderId="9" xfId="1" applyNumberFormat="1" applyFont="1" applyFill="1" applyBorder="1" applyAlignment="1" applyProtection="1">
      <alignment horizontal="center" vertical="center"/>
      <protection locked="0"/>
    </xf>
    <xf numFmtId="0" fontId="13" fillId="8" borderId="9" xfId="1" applyFont="1" applyFill="1" applyBorder="1" applyAlignment="1" applyProtection="1">
      <alignment vertical="center" wrapText="1"/>
    </xf>
    <xf numFmtId="0" fontId="14" fillId="8" borderId="0" xfId="1" applyFont="1" applyFill="1" applyAlignment="1" applyProtection="1">
      <alignment vertical="center"/>
    </xf>
    <xf numFmtId="0" fontId="13" fillId="9" borderId="9" xfId="1" applyFont="1" applyFill="1" applyBorder="1" applyAlignment="1" applyProtection="1">
      <alignment horizontal="left" vertical="center" wrapText="1"/>
    </xf>
    <xf numFmtId="166" fontId="13" fillId="9" borderId="9" xfId="1" applyNumberFormat="1" applyFont="1" applyFill="1" applyBorder="1" applyAlignment="1" applyProtection="1">
      <alignment horizontal="center" vertical="center"/>
      <protection locked="0"/>
    </xf>
    <xf numFmtId="0" fontId="13" fillId="9" borderId="9" xfId="1" applyFont="1" applyFill="1" applyBorder="1" applyAlignment="1" applyProtection="1">
      <alignment vertical="center" wrapText="1"/>
    </xf>
    <xf numFmtId="166" fontId="14" fillId="9" borderId="0" xfId="1" applyNumberFormat="1" applyFont="1" applyFill="1" applyAlignment="1" applyProtection="1">
      <alignment vertical="center"/>
    </xf>
    <xf numFmtId="0" fontId="14" fillId="9" borderId="0" xfId="1" applyFont="1" applyFill="1" applyAlignment="1" applyProtection="1">
      <alignment vertical="center"/>
    </xf>
    <xf numFmtId="166" fontId="13" fillId="8" borderId="9" xfId="1" applyNumberFormat="1" applyFont="1" applyFill="1" applyBorder="1" applyAlignment="1" applyProtection="1">
      <alignment horizontal="center" vertical="center"/>
    </xf>
    <xf numFmtId="166" fontId="15" fillId="8" borderId="0" xfId="1" applyNumberFormat="1" applyFont="1" applyFill="1" applyAlignment="1" applyProtection="1">
      <alignment vertical="center"/>
    </xf>
    <xf numFmtId="0" fontId="13" fillId="10" borderId="9" xfId="1" applyFont="1" applyFill="1" applyBorder="1" applyAlignment="1" applyProtection="1">
      <alignment horizontal="left" vertical="center" wrapText="1"/>
    </xf>
    <xf numFmtId="166" fontId="13" fillId="10" borderId="9" xfId="1" applyNumberFormat="1" applyFont="1" applyFill="1" applyBorder="1" applyAlignment="1" applyProtection="1">
      <alignment horizontal="center" vertical="center"/>
    </xf>
    <xf numFmtId="166" fontId="13" fillId="10" borderId="9" xfId="1" applyNumberFormat="1" applyFont="1" applyFill="1" applyBorder="1" applyAlignment="1" applyProtection="1">
      <alignment horizontal="center" vertical="center"/>
      <protection locked="0"/>
    </xf>
    <xf numFmtId="0" fontId="13" fillId="10" borderId="9" xfId="1" applyFont="1" applyFill="1" applyBorder="1" applyAlignment="1" applyProtection="1">
      <alignment vertical="center" wrapText="1"/>
    </xf>
    <xf numFmtId="166" fontId="15" fillId="10" borderId="0" xfId="1" applyNumberFormat="1" applyFont="1" applyFill="1" applyAlignment="1" applyProtection="1">
      <alignment vertical="center"/>
    </xf>
    <xf numFmtId="0" fontId="14" fillId="10" borderId="0" xfId="1" applyFont="1" applyFill="1" applyAlignment="1" applyProtection="1">
      <alignment vertical="center"/>
    </xf>
    <xf numFmtId="0" fontId="13" fillId="11" borderId="9" xfId="1" applyFont="1" applyFill="1" applyBorder="1" applyAlignment="1" applyProtection="1">
      <alignment horizontal="left" vertical="center" wrapText="1"/>
    </xf>
    <xf numFmtId="166" fontId="13" fillId="11" borderId="9" xfId="1" applyNumberFormat="1" applyFont="1" applyFill="1" applyBorder="1" applyAlignment="1" applyProtection="1">
      <alignment horizontal="center" vertical="center"/>
    </xf>
    <xf numFmtId="166" fontId="13" fillId="11" borderId="9" xfId="1" applyNumberFormat="1" applyFont="1" applyFill="1" applyBorder="1" applyAlignment="1" applyProtection="1">
      <alignment horizontal="center" vertical="center"/>
      <protection locked="0"/>
    </xf>
    <xf numFmtId="0" fontId="13" fillId="11" borderId="9" xfId="1" applyFont="1" applyFill="1" applyBorder="1" applyAlignment="1" applyProtection="1">
      <alignment vertical="center" wrapText="1"/>
    </xf>
    <xf numFmtId="166" fontId="15" fillId="11" borderId="0" xfId="1" applyNumberFormat="1" applyFont="1" applyFill="1" applyAlignment="1" applyProtection="1">
      <alignment vertical="center"/>
    </xf>
    <xf numFmtId="0" fontId="14" fillId="11" borderId="0" xfId="1" applyFont="1" applyFill="1" applyAlignment="1" applyProtection="1">
      <alignment vertical="center"/>
    </xf>
    <xf numFmtId="0" fontId="13" fillId="12" borderId="9" xfId="1" applyFont="1" applyFill="1" applyBorder="1" applyAlignment="1" applyProtection="1">
      <alignment horizontal="left" vertical="center" wrapText="1"/>
    </xf>
    <xf numFmtId="166" fontId="13" fillId="12" borderId="9" xfId="1" applyNumberFormat="1" applyFont="1" applyFill="1" applyBorder="1" applyAlignment="1" applyProtection="1">
      <alignment horizontal="center" vertical="center"/>
    </xf>
    <xf numFmtId="166" fontId="13" fillId="12" borderId="9" xfId="1" applyNumberFormat="1" applyFont="1" applyFill="1" applyBorder="1" applyAlignment="1" applyProtection="1">
      <alignment horizontal="center" vertical="center"/>
      <protection locked="0"/>
    </xf>
    <xf numFmtId="0" fontId="13" fillId="12" borderId="9" xfId="1" applyFont="1" applyFill="1" applyBorder="1" applyAlignment="1" applyProtection="1">
      <alignment vertical="center" wrapText="1"/>
    </xf>
    <xf numFmtId="166" fontId="11" fillId="12" borderId="0" xfId="1" applyNumberFormat="1" applyFont="1" applyFill="1" applyAlignment="1" applyProtection="1">
      <alignment vertical="center"/>
    </xf>
    <xf numFmtId="0" fontId="29" fillId="12" borderId="0" xfId="1" applyFont="1" applyFill="1" applyAlignment="1" applyProtection="1">
      <alignment vertical="center"/>
    </xf>
    <xf numFmtId="0" fontId="13" fillId="6" borderId="9" xfId="1" applyFont="1" applyFill="1" applyBorder="1" applyAlignment="1" applyProtection="1">
      <alignment horizontal="left" vertical="center" wrapText="1"/>
    </xf>
    <xf numFmtId="166" fontId="13" fillId="6" borderId="9" xfId="1" applyNumberFormat="1" applyFont="1" applyFill="1" applyBorder="1" applyAlignment="1" applyProtection="1">
      <alignment horizontal="center" vertical="center"/>
    </xf>
    <xf numFmtId="166" fontId="13" fillId="6" borderId="9" xfId="1" applyNumberFormat="1" applyFont="1" applyFill="1" applyBorder="1" applyAlignment="1" applyProtection="1">
      <alignment horizontal="center" vertical="center"/>
      <protection locked="0"/>
    </xf>
    <xf numFmtId="0" fontId="13" fillId="6" borderId="9" xfId="1" applyFont="1" applyFill="1" applyBorder="1" applyAlignment="1" applyProtection="1">
      <alignment vertical="center" wrapText="1"/>
    </xf>
    <xf numFmtId="0" fontId="13" fillId="13" borderId="9" xfId="1" applyFont="1" applyFill="1" applyBorder="1" applyAlignment="1" applyProtection="1">
      <alignment horizontal="left" vertical="center" wrapText="1"/>
    </xf>
    <xf numFmtId="166" fontId="13" fillId="13" borderId="9" xfId="1" applyNumberFormat="1" applyFont="1" applyFill="1" applyBorder="1" applyAlignment="1" applyProtection="1">
      <alignment horizontal="center" vertical="center"/>
    </xf>
    <xf numFmtId="166" fontId="13" fillId="13" borderId="9" xfId="1" applyNumberFormat="1" applyFont="1" applyFill="1" applyBorder="1" applyAlignment="1" applyProtection="1">
      <alignment horizontal="center" vertical="center"/>
      <protection locked="0"/>
    </xf>
    <xf numFmtId="0" fontId="13" fillId="13" borderId="9" xfId="1" applyFont="1" applyFill="1" applyBorder="1" applyAlignment="1" applyProtection="1">
      <alignment vertical="center" wrapText="1"/>
    </xf>
    <xf numFmtId="0" fontId="13" fillId="14" borderId="9" xfId="1" applyFont="1" applyFill="1" applyBorder="1" applyAlignment="1" applyProtection="1">
      <alignment horizontal="left" vertical="center" wrapText="1"/>
    </xf>
    <xf numFmtId="166" fontId="13" fillId="14" borderId="9" xfId="1" applyNumberFormat="1" applyFont="1" applyFill="1" applyBorder="1" applyAlignment="1" applyProtection="1">
      <alignment horizontal="center" vertical="center"/>
    </xf>
    <xf numFmtId="166" fontId="13" fillId="14" borderId="9" xfId="1" applyNumberFormat="1" applyFont="1" applyFill="1" applyBorder="1" applyAlignment="1" applyProtection="1">
      <alignment horizontal="center" vertical="center"/>
      <protection locked="0"/>
    </xf>
    <xf numFmtId="0" fontId="13" fillId="14" borderId="9" xfId="1" applyFont="1" applyFill="1" applyBorder="1" applyAlignment="1" applyProtection="1">
      <alignment vertical="center" wrapText="1"/>
    </xf>
    <xf numFmtId="166" fontId="11" fillId="14" borderId="0" xfId="1" applyNumberFormat="1" applyFont="1" applyFill="1" applyAlignment="1" applyProtection="1">
      <alignment vertical="center"/>
    </xf>
    <xf numFmtId="0" fontId="29" fillId="14" borderId="0" xfId="1" applyFont="1" applyFill="1" applyAlignment="1" applyProtection="1">
      <alignment vertical="center"/>
    </xf>
    <xf numFmtId="0" fontId="13" fillId="15" borderId="9" xfId="1" applyFont="1" applyFill="1" applyBorder="1" applyAlignment="1" applyProtection="1">
      <alignment horizontal="left" vertical="center" wrapText="1"/>
    </xf>
    <xf numFmtId="166" fontId="13" fillId="15" borderId="9" xfId="1" applyNumberFormat="1" applyFont="1" applyFill="1" applyBorder="1" applyAlignment="1" applyProtection="1">
      <alignment horizontal="center" vertical="center"/>
    </xf>
    <xf numFmtId="166" fontId="13" fillId="15" borderId="9" xfId="1" applyNumberFormat="1" applyFont="1" applyFill="1" applyBorder="1" applyAlignment="1" applyProtection="1">
      <alignment horizontal="center" vertical="center"/>
      <protection locked="0"/>
    </xf>
    <xf numFmtId="0" fontId="13" fillId="15" borderId="9" xfId="1" applyFont="1" applyFill="1" applyBorder="1" applyAlignment="1" applyProtection="1">
      <alignment vertical="center" wrapText="1"/>
    </xf>
    <xf numFmtId="166" fontId="11" fillId="15" borderId="0" xfId="1" applyNumberFormat="1" applyFont="1" applyFill="1" applyAlignment="1" applyProtection="1">
      <alignment vertical="center"/>
    </xf>
    <xf numFmtId="0" fontId="29" fillId="15" borderId="0" xfId="1" applyFont="1" applyFill="1" applyAlignment="1" applyProtection="1">
      <alignment vertical="center"/>
    </xf>
    <xf numFmtId="166" fontId="11" fillId="11" borderId="0" xfId="1" applyNumberFormat="1" applyFont="1" applyFill="1" applyAlignment="1" applyProtection="1">
      <alignment vertical="center"/>
    </xf>
    <xf numFmtId="0" fontId="29" fillId="11" borderId="0" xfId="1" applyFont="1" applyFill="1" applyAlignment="1" applyProtection="1">
      <alignment vertical="center"/>
    </xf>
    <xf numFmtId="166" fontId="15" fillId="13" borderId="0" xfId="1" applyNumberFormat="1" applyFont="1" applyFill="1" applyAlignment="1" applyProtection="1">
      <alignment vertical="center"/>
    </xf>
    <xf numFmtId="0" fontId="14" fillId="13" borderId="0" xfId="1" applyFont="1" applyFill="1" applyAlignment="1" applyProtection="1">
      <alignment vertical="center"/>
    </xf>
    <xf numFmtId="166" fontId="15" fillId="6" borderId="0" xfId="1" applyNumberFormat="1" applyFont="1" applyFill="1" applyAlignment="1" applyProtection="1">
      <alignment vertical="center"/>
    </xf>
    <xf numFmtId="0" fontId="14" fillId="6" borderId="0" xfId="1" applyFont="1" applyFill="1" applyAlignment="1" applyProtection="1">
      <alignment vertical="center"/>
    </xf>
    <xf numFmtId="166" fontId="29" fillId="0" borderId="0" xfId="1" applyNumberFormat="1" applyFont="1" applyFill="1" applyAlignment="1" applyProtection="1">
      <alignment vertical="center"/>
    </xf>
    <xf numFmtId="166" fontId="12" fillId="0" borderId="0" xfId="1" applyNumberFormat="1" applyFont="1" applyFill="1" applyAlignment="1" applyProtection="1">
      <alignment vertical="center"/>
    </xf>
    <xf numFmtId="0" fontId="3" fillId="0" borderId="9" xfId="1" applyFont="1" applyBorder="1" applyAlignment="1" applyProtection="1">
      <alignment vertical="top" wrapText="1"/>
    </xf>
    <xf numFmtId="0" fontId="23" fillId="0" borderId="5" xfId="1" applyFont="1" applyBorder="1" applyAlignment="1" applyProtection="1">
      <alignment horizontal="center" vertical="center"/>
    </xf>
    <xf numFmtId="0" fontId="13" fillId="0" borderId="8" xfId="1" applyFont="1" applyBorder="1" applyAlignment="1" applyProtection="1">
      <alignment horizontal="center"/>
    </xf>
    <xf numFmtId="0" fontId="3" fillId="0" borderId="9" xfId="1" applyFont="1" applyBorder="1" applyAlignment="1" applyProtection="1">
      <alignment horizontal="left" vertical="center" wrapText="1"/>
    </xf>
    <xf numFmtId="0" fontId="31" fillId="0" borderId="9" xfId="1" applyFont="1" applyBorder="1" applyAlignment="1" applyProtection="1">
      <alignment horizontal="justify" vertical="center" wrapText="1"/>
    </xf>
    <xf numFmtId="4" fontId="7" fillId="0" borderId="9" xfId="0" applyNumberFormat="1" applyFont="1" applyFill="1" applyBorder="1" applyAlignment="1" applyProtection="1">
      <alignment horizontal="center" vertical="center"/>
    </xf>
    <xf numFmtId="4" fontId="42" fillId="0" borderId="9" xfId="0" applyNumberFormat="1" applyFont="1" applyFill="1" applyBorder="1" applyAlignment="1" applyProtection="1">
      <alignment horizontal="center" vertical="center"/>
    </xf>
    <xf numFmtId="0" fontId="2" fillId="17" borderId="0" xfId="1" applyFont="1" applyFill="1" applyAlignment="1" applyProtection="1">
      <alignment vertical="center" wrapText="1"/>
    </xf>
    <xf numFmtId="49" fontId="13" fillId="17" borderId="9" xfId="1" applyNumberFormat="1" applyFont="1" applyFill="1" applyBorder="1" applyAlignment="1" applyProtection="1">
      <alignment horizontal="center" vertical="center" wrapText="1"/>
    </xf>
    <xf numFmtId="165" fontId="3" fillId="17" borderId="9" xfId="1" applyNumberFormat="1" applyFont="1" applyFill="1" applyBorder="1" applyAlignment="1" applyProtection="1">
      <alignment horizontal="center" vertical="center" wrapText="1"/>
    </xf>
    <xf numFmtId="166" fontId="13" fillId="17" borderId="9" xfId="1" applyNumberFormat="1" applyFont="1" applyFill="1" applyBorder="1" applyAlignment="1" applyProtection="1">
      <alignment horizontal="center" vertical="center"/>
      <protection locked="0"/>
    </xf>
    <xf numFmtId="166" fontId="13" fillId="17" borderId="9" xfId="1" applyNumberFormat="1" applyFont="1" applyFill="1" applyBorder="1" applyAlignment="1" applyProtection="1">
      <alignment horizontal="center" vertical="center"/>
    </xf>
    <xf numFmtId="166" fontId="3" fillId="17" borderId="9" xfId="1" applyNumberFormat="1" applyFont="1" applyFill="1" applyBorder="1" applyAlignment="1" applyProtection="1">
      <alignment horizontal="center" vertical="center"/>
      <protection locked="0"/>
    </xf>
    <xf numFmtId="0" fontId="10" fillId="17" borderId="0" xfId="1" applyFont="1" applyFill="1" applyProtection="1"/>
    <xf numFmtId="166" fontId="3" fillId="0" borderId="9" xfId="1" applyNumberFormat="1" applyFont="1" applyFill="1" applyBorder="1" applyAlignment="1" applyProtection="1">
      <alignment horizontal="left" vertical="top" wrapText="1"/>
      <protection locked="0"/>
    </xf>
    <xf numFmtId="0" fontId="3" fillId="0" borderId="2" xfId="1" applyFont="1" applyBorder="1" applyAlignment="1" applyProtection="1">
      <alignment horizontal="left" vertical="center" wrapText="1"/>
    </xf>
    <xf numFmtId="0" fontId="3" fillId="0" borderId="8" xfId="1" applyFont="1" applyBorder="1" applyAlignment="1" applyProtection="1">
      <alignment horizontal="left" vertical="center" wrapText="1"/>
    </xf>
    <xf numFmtId="0" fontId="13" fillId="18" borderId="9" xfId="1" applyFont="1" applyFill="1" applyBorder="1" applyAlignment="1" applyProtection="1">
      <alignment horizontal="left" vertical="center" wrapText="1"/>
    </xf>
    <xf numFmtId="166" fontId="13" fillId="18" borderId="9" xfId="1" applyNumberFormat="1" applyFont="1" applyFill="1" applyBorder="1" applyAlignment="1" applyProtection="1">
      <alignment horizontal="center" vertical="center"/>
    </xf>
    <xf numFmtId="166" fontId="13" fillId="18" borderId="9" xfId="1" applyNumberFormat="1" applyFont="1" applyFill="1" applyBorder="1" applyAlignment="1" applyProtection="1">
      <alignment horizontal="center" vertical="center"/>
      <protection locked="0"/>
    </xf>
    <xf numFmtId="0" fontId="36" fillId="0" borderId="9" xfId="1" applyFont="1" applyFill="1" applyBorder="1" applyAlignment="1" applyProtection="1">
      <alignment horizontal="left" vertical="center" wrapText="1"/>
    </xf>
    <xf numFmtId="0" fontId="37" fillId="0" borderId="9" xfId="1" applyFont="1" applyFill="1" applyBorder="1" applyAlignment="1" applyProtection="1">
      <alignment horizontal="left" vertical="center" wrapText="1"/>
    </xf>
    <xf numFmtId="0" fontId="13" fillId="0" borderId="5" xfId="1" applyFont="1" applyBorder="1" applyAlignment="1" applyProtection="1">
      <alignment horizontal="center" vertical="center"/>
    </xf>
    <xf numFmtId="0" fontId="28" fillId="0" borderId="2" xfId="1" applyFont="1" applyBorder="1" applyAlignment="1" applyProtection="1">
      <alignment horizontal="right" vertical="center" wrapText="1"/>
    </xf>
    <xf numFmtId="14" fontId="21" fillId="0" borderId="9" xfId="1" applyNumberFormat="1" applyFont="1" applyBorder="1" applyAlignment="1" applyProtection="1">
      <alignment horizontal="center" vertical="center" wrapText="1"/>
    </xf>
    <xf numFmtId="0" fontId="28" fillId="0" borderId="0" xfId="1" applyFont="1" applyBorder="1" applyAlignment="1" applyProtection="1">
      <alignment horizontal="right" vertical="center" wrapText="1"/>
    </xf>
    <xf numFmtId="0" fontId="43" fillId="0" borderId="9" xfId="1" applyFont="1" applyBorder="1" applyAlignment="1" applyProtection="1">
      <alignment horizontal="left" vertical="center" wrapText="1"/>
    </xf>
    <xf numFmtId="0" fontId="44" fillId="0" borderId="0" xfId="0" applyFont="1" applyBorder="1" applyAlignment="1">
      <alignment horizontal="left"/>
    </xf>
    <xf numFmtId="0" fontId="45" fillId="0" borderId="2" xfId="1" applyFont="1" applyBorder="1" applyAlignment="1" applyProtection="1">
      <alignment horizontal="left" vertical="center" wrapText="1"/>
    </xf>
    <xf numFmtId="0" fontId="45" fillId="0" borderId="13" xfId="0" applyFont="1" applyBorder="1" applyAlignment="1">
      <alignment horizontal="justify" vertical="top"/>
    </xf>
    <xf numFmtId="0" fontId="45" fillId="0" borderId="9" xfId="1" applyFont="1" applyBorder="1" applyAlignment="1" applyProtection="1">
      <alignment vertical="center" wrapText="1"/>
    </xf>
    <xf numFmtId="0" fontId="3" fillId="3" borderId="9" xfId="1" applyFont="1" applyFill="1" applyBorder="1" applyAlignment="1" applyProtection="1">
      <alignment horizontal="left" vertical="center" wrapText="1"/>
    </xf>
    <xf numFmtId="166" fontId="3" fillId="3" borderId="9" xfId="1" applyNumberFormat="1" applyFont="1" applyFill="1" applyBorder="1" applyAlignment="1" applyProtection="1">
      <alignment horizontal="center" vertical="center"/>
    </xf>
    <xf numFmtId="166" fontId="3" fillId="3" borderId="9" xfId="1" applyNumberFormat="1" applyFont="1" applyFill="1" applyBorder="1" applyAlignment="1" applyProtection="1">
      <alignment horizontal="center" vertical="center"/>
      <protection locked="0"/>
    </xf>
    <xf numFmtId="0" fontId="3" fillId="3" borderId="9" xfId="1" applyFont="1" applyFill="1" applyBorder="1" applyAlignment="1" applyProtection="1">
      <alignment vertical="center" wrapText="1"/>
    </xf>
    <xf numFmtId="166" fontId="15" fillId="3" borderId="0" xfId="1" applyNumberFormat="1" applyFont="1" applyFill="1" applyAlignment="1" applyProtection="1">
      <alignment vertical="center"/>
    </xf>
    <xf numFmtId="0" fontId="12" fillId="3" borderId="0" xfId="1" applyFont="1" applyFill="1" applyAlignment="1" applyProtection="1">
      <alignment vertical="center"/>
    </xf>
    <xf numFmtId="0" fontId="2" fillId="15" borderId="0" xfId="1" applyFont="1" applyFill="1" applyAlignment="1" applyProtection="1">
      <alignment vertical="center" wrapText="1"/>
    </xf>
    <xf numFmtId="49" fontId="13" fillId="15" borderId="9" xfId="1" applyNumberFormat="1" applyFont="1" applyFill="1" applyBorder="1" applyAlignment="1" applyProtection="1">
      <alignment horizontal="center" vertical="center" wrapText="1"/>
    </xf>
    <xf numFmtId="165" fontId="3" fillId="15" borderId="9" xfId="1" applyNumberFormat="1" applyFont="1" applyFill="1" applyBorder="1" applyAlignment="1" applyProtection="1">
      <alignment horizontal="center" vertical="center" wrapText="1"/>
    </xf>
    <xf numFmtId="166" fontId="3" fillId="15" borderId="9" xfId="1" applyNumberFormat="1" applyFont="1" applyFill="1" applyBorder="1" applyAlignment="1" applyProtection="1">
      <alignment horizontal="center" vertical="center"/>
      <protection locked="0"/>
    </xf>
    <xf numFmtId="0" fontId="10" fillId="15" borderId="0" xfId="1" applyFont="1" applyFill="1" applyProtection="1"/>
    <xf numFmtId="167" fontId="7" fillId="3" borderId="9" xfId="4" applyFont="1" applyFill="1" applyBorder="1" applyAlignment="1">
      <alignment horizontal="center" vertical="center" wrapText="1"/>
    </xf>
    <xf numFmtId="0" fontId="13" fillId="3" borderId="9" xfId="1" applyFont="1" applyFill="1" applyBorder="1" applyAlignment="1" applyProtection="1">
      <alignment vertical="center" wrapText="1"/>
    </xf>
    <xf numFmtId="166" fontId="14" fillId="3" borderId="0" xfId="1" applyNumberFormat="1" applyFont="1" applyFill="1" applyAlignment="1" applyProtection="1">
      <alignment vertical="center"/>
    </xf>
    <xf numFmtId="0" fontId="14" fillId="3" borderId="0" xfId="1" applyFont="1" applyFill="1" applyAlignment="1" applyProtection="1">
      <alignment vertical="center"/>
    </xf>
    <xf numFmtId="43" fontId="3" fillId="3" borderId="9" xfId="1" applyNumberFormat="1" applyFont="1" applyFill="1" applyBorder="1" applyAlignment="1" applyProtection="1">
      <alignment horizontal="right" vertical="center" wrapText="1"/>
    </xf>
    <xf numFmtId="166" fontId="3" fillId="3" borderId="9" xfId="1" applyNumberFormat="1" applyFont="1" applyFill="1" applyBorder="1" applyAlignment="1" applyProtection="1">
      <alignment horizontal="right" vertical="center"/>
    </xf>
    <xf numFmtId="0" fontId="3" fillId="0" borderId="9" xfId="1" applyFont="1" applyBorder="1" applyAlignment="1" applyProtection="1">
      <alignment horizontal="left" vertical="center" wrapText="1"/>
    </xf>
    <xf numFmtId="0" fontId="7" fillId="0" borderId="5" xfId="0" applyFont="1" applyFill="1" applyBorder="1" applyAlignment="1">
      <alignment horizontal="left" vertical="center" wrapText="1"/>
    </xf>
    <xf numFmtId="0" fontId="7" fillId="0" borderId="8" xfId="0" applyFont="1" applyFill="1" applyBorder="1" applyAlignment="1">
      <alignment horizontal="left" vertical="center" wrapText="1"/>
    </xf>
    <xf numFmtId="0" fontId="3" fillId="0" borderId="2" xfId="0" applyFont="1" applyFill="1" applyBorder="1" applyAlignment="1">
      <alignment horizontal="left" vertical="top" wrapText="1"/>
    </xf>
    <xf numFmtId="0" fontId="3" fillId="0" borderId="2" xfId="2" applyFont="1" applyFill="1" applyBorder="1" applyAlignment="1" applyProtection="1">
      <alignment vertical="top" wrapText="1"/>
      <protection locked="0"/>
    </xf>
    <xf numFmtId="0" fontId="3" fillId="0" borderId="2" xfId="2" applyFont="1" applyFill="1" applyBorder="1" applyAlignment="1" applyProtection="1">
      <alignment vertical="center" wrapText="1"/>
      <protection locked="0"/>
    </xf>
    <xf numFmtId="0" fontId="3" fillId="0" borderId="9" xfId="0" applyFont="1" applyFill="1" applyBorder="1" applyAlignment="1">
      <alignment horizontal="justify" vertical="top" wrapText="1"/>
    </xf>
    <xf numFmtId="0" fontId="3" fillId="3" borderId="9" xfId="0" applyFont="1" applyFill="1" applyBorder="1" applyAlignment="1">
      <alignment horizontal="justify" vertical="top" wrapText="1"/>
    </xf>
    <xf numFmtId="4" fontId="3" fillId="0" borderId="9" xfId="0" applyNumberFormat="1" applyFont="1" applyBorder="1" applyAlignment="1">
      <alignment vertical="center" wrapText="1"/>
    </xf>
    <xf numFmtId="166" fontId="13" fillId="3" borderId="9" xfId="1" applyNumberFormat="1" applyFont="1" applyFill="1" applyBorder="1" applyAlignment="1" applyProtection="1">
      <alignment horizontal="center" vertical="center"/>
      <protection locked="0"/>
    </xf>
    <xf numFmtId="166" fontId="46" fillId="0" borderId="0" xfId="1" applyNumberFormat="1" applyFont="1" applyAlignment="1" applyProtection="1">
      <alignment vertical="center"/>
    </xf>
    <xf numFmtId="166" fontId="46" fillId="0" borderId="0" xfId="1" applyNumberFormat="1" applyFont="1" applyFill="1" applyAlignment="1" applyProtection="1">
      <alignment vertical="center"/>
    </xf>
    <xf numFmtId="166" fontId="22" fillId="3" borderId="0" xfId="1" applyNumberFormat="1" applyFont="1" applyFill="1" applyAlignment="1" applyProtection="1">
      <alignment vertical="center"/>
    </xf>
    <xf numFmtId="0" fontId="22" fillId="3" borderId="0" xfId="1" applyFont="1" applyFill="1" applyAlignment="1" applyProtection="1">
      <alignment vertical="center"/>
    </xf>
    <xf numFmtId="167" fontId="3" fillId="0" borderId="9" xfId="0" applyNumberFormat="1" applyFont="1" applyFill="1" applyBorder="1" applyAlignment="1">
      <alignment vertical="center" wrapText="1"/>
    </xf>
    <xf numFmtId="0" fontId="13" fillId="0" borderId="5" xfId="1" applyFont="1" applyBorder="1" applyAlignment="1" applyProtection="1">
      <alignment horizontal="center" vertical="center"/>
    </xf>
    <xf numFmtId="0" fontId="13" fillId="0" borderId="5" xfId="1" applyFont="1" applyBorder="1" applyAlignment="1" applyProtection="1">
      <alignment horizontal="center" vertical="center" wrapText="1"/>
    </xf>
    <xf numFmtId="0" fontId="3" fillId="0" borderId="9" xfId="1" applyFont="1" applyBorder="1" applyAlignment="1" applyProtection="1">
      <alignment horizontal="left" vertical="center" wrapText="1"/>
    </xf>
    <xf numFmtId="166" fontId="3" fillId="0" borderId="9" xfId="1" applyNumberFormat="1" applyFont="1" applyBorder="1" applyAlignment="1" applyProtection="1">
      <alignment vertical="center" wrapText="1"/>
    </xf>
    <xf numFmtId="0" fontId="25" fillId="0" borderId="9" xfId="1" applyFont="1" applyBorder="1" applyAlignment="1" applyProtection="1">
      <alignment vertical="center" wrapText="1"/>
    </xf>
    <xf numFmtId="0" fontId="3" fillId="3" borderId="9" xfId="2" applyFont="1" applyFill="1" applyBorder="1" applyAlignment="1">
      <alignment vertical="center" wrapText="1"/>
    </xf>
    <xf numFmtId="0" fontId="3" fillId="0" borderId="9" xfId="0" applyFont="1" applyFill="1" applyBorder="1" applyAlignment="1">
      <alignment horizontal="justify" vertical="center" wrapText="1"/>
    </xf>
    <xf numFmtId="0" fontId="3" fillId="0" borderId="2" xfId="0" applyFont="1" applyFill="1" applyBorder="1" applyAlignment="1">
      <alignment horizontal="left" vertical="center" wrapText="1"/>
    </xf>
    <xf numFmtId="0" fontId="3" fillId="3" borderId="9" xfId="0" applyFont="1" applyFill="1" applyBorder="1" applyAlignment="1">
      <alignment horizontal="justify" vertical="center" wrapText="1"/>
    </xf>
    <xf numFmtId="164" fontId="13" fillId="0" borderId="3" xfId="1" applyNumberFormat="1" applyFont="1" applyBorder="1" applyAlignment="1" applyProtection="1">
      <alignment horizontal="center" vertical="center" wrapText="1"/>
    </xf>
    <xf numFmtId="164" fontId="13" fillId="0" borderId="4" xfId="1" applyNumberFormat="1" applyFont="1" applyBorder="1" applyAlignment="1" applyProtection="1">
      <alignment horizontal="center" vertical="center" wrapText="1"/>
    </xf>
    <xf numFmtId="164" fontId="13" fillId="0" borderId="6" xfId="1" applyNumberFormat="1" applyFont="1" applyBorder="1" applyAlignment="1" applyProtection="1">
      <alignment horizontal="center" vertical="center" wrapText="1"/>
    </xf>
    <xf numFmtId="164" fontId="13" fillId="0" borderId="7" xfId="1" applyNumberFormat="1" applyFont="1" applyBorder="1" applyAlignment="1" applyProtection="1">
      <alignment horizontal="center" vertical="center" wrapText="1"/>
    </xf>
    <xf numFmtId="164" fontId="13" fillId="0" borderId="0" xfId="1" applyNumberFormat="1" applyFont="1" applyAlignment="1" applyProtection="1">
      <alignment horizontal="center" vertical="center" wrapText="1"/>
    </xf>
    <xf numFmtId="164" fontId="13" fillId="0" borderId="1" xfId="1" applyNumberFormat="1" applyFont="1" applyBorder="1" applyAlignment="1" applyProtection="1">
      <alignment horizontal="center" vertical="center" wrapText="1"/>
    </xf>
    <xf numFmtId="0" fontId="13" fillId="0" borderId="2" xfId="1" applyFont="1" applyBorder="1" applyAlignment="1" applyProtection="1">
      <alignment horizontal="left" vertical="top" wrapText="1"/>
    </xf>
    <xf numFmtId="0" fontId="13" fillId="0" borderId="5" xfId="1" applyFont="1" applyBorder="1" applyAlignment="1" applyProtection="1">
      <alignment horizontal="left" vertical="top" wrapText="1"/>
    </xf>
    <xf numFmtId="0" fontId="13" fillId="0" borderId="8" xfId="1" applyFont="1" applyBorder="1" applyAlignment="1" applyProtection="1">
      <alignment horizontal="left" vertical="top" wrapText="1"/>
    </xf>
    <xf numFmtId="0" fontId="13" fillId="0" borderId="2" xfId="1" applyFont="1" applyBorder="1" applyAlignment="1" applyProtection="1">
      <alignment horizontal="center" vertical="top" wrapText="1"/>
    </xf>
    <xf numFmtId="0" fontId="13" fillId="0" borderId="5" xfId="1" applyFont="1" applyBorder="1" applyAlignment="1" applyProtection="1">
      <alignment horizontal="center" vertical="top" wrapText="1"/>
    </xf>
    <xf numFmtId="0" fontId="13" fillId="0" borderId="8" xfId="1" applyFont="1" applyBorder="1" applyAlignment="1" applyProtection="1">
      <alignment horizontal="center" vertical="top" wrapText="1"/>
    </xf>
    <xf numFmtId="0" fontId="26" fillId="0" borderId="2" xfId="1" applyFont="1" applyBorder="1" applyAlignment="1" applyProtection="1">
      <alignment horizontal="center" vertical="top" wrapText="1"/>
    </xf>
    <xf numFmtId="0" fontId="26" fillId="0" borderId="5" xfId="1" applyFont="1" applyBorder="1" applyAlignment="1" applyProtection="1">
      <alignment horizontal="center" vertical="top" wrapText="1"/>
    </xf>
    <xf numFmtId="0" fontId="26" fillId="0" borderId="8" xfId="1" applyFont="1" applyBorder="1" applyAlignment="1" applyProtection="1">
      <alignment horizontal="center" vertical="top" wrapText="1"/>
    </xf>
    <xf numFmtId="164" fontId="13" fillId="0" borderId="2" xfId="1" applyNumberFormat="1" applyFont="1" applyFill="1" applyBorder="1" applyAlignment="1" applyProtection="1">
      <alignment horizontal="center" vertical="center" wrapText="1"/>
    </xf>
    <xf numFmtId="164" fontId="13" fillId="0" borderId="5" xfId="1" applyNumberFormat="1" applyFont="1" applyFill="1" applyBorder="1" applyAlignment="1" applyProtection="1">
      <alignment horizontal="center" vertical="center" wrapText="1"/>
    </xf>
    <xf numFmtId="164" fontId="13" fillId="0" borderId="2" xfId="1" applyNumberFormat="1" applyFont="1" applyBorder="1" applyAlignment="1" applyProtection="1">
      <alignment horizontal="center" vertical="center" wrapText="1"/>
    </xf>
    <xf numFmtId="164" fontId="13" fillId="0" borderId="5" xfId="1" applyNumberFormat="1" applyFont="1" applyBorder="1" applyAlignment="1" applyProtection="1">
      <alignment horizontal="center" vertical="center" wrapText="1"/>
    </xf>
    <xf numFmtId="0" fontId="13" fillId="0" borderId="2" xfId="1" applyFont="1" applyBorder="1" applyAlignment="1" applyProtection="1">
      <alignment horizontal="center" vertical="center" wrapText="1"/>
    </xf>
    <xf numFmtId="0" fontId="13" fillId="0" borderId="5" xfId="1" applyFont="1" applyBorder="1" applyAlignment="1" applyProtection="1">
      <alignment horizontal="center" vertical="center" wrapText="1"/>
    </xf>
    <xf numFmtId="0" fontId="13" fillId="0" borderId="8" xfId="1" applyFont="1" applyBorder="1" applyAlignment="1" applyProtection="1">
      <alignment horizontal="center" vertical="center" wrapText="1"/>
    </xf>
    <xf numFmtId="0" fontId="23" fillId="0" borderId="2" xfId="1" applyFont="1" applyFill="1" applyBorder="1" applyAlignment="1" applyProtection="1">
      <alignment horizontal="center" vertical="center"/>
    </xf>
    <xf numFmtId="0" fontId="23" fillId="0" borderId="5" xfId="1" applyFont="1" applyFill="1" applyBorder="1" applyAlignment="1" applyProtection="1">
      <alignment horizontal="center" vertical="center"/>
    </xf>
    <xf numFmtId="0" fontId="23" fillId="0" borderId="8" xfId="1" applyFont="1" applyFill="1" applyBorder="1" applyAlignment="1" applyProtection="1">
      <alignment horizontal="center" vertical="center"/>
    </xf>
    <xf numFmtId="0" fontId="13" fillId="0" borderId="2" xfId="1" applyFont="1" applyFill="1" applyBorder="1" applyAlignment="1" applyProtection="1">
      <alignment horizontal="center" vertical="center" wrapText="1"/>
    </xf>
    <xf numFmtId="0" fontId="13" fillId="0" borderId="5" xfId="1" applyFont="1" applyFill="1" applyBorder="1" applyAlignment="1" applyProtection="1">
      <alignment horizontal="center" vertical="center" wrapText="1"/>
    </xf>
    <xf numFmtId="0" fontId="13" fillId="0" borderId="8" xfId="1" applyFont="1" applyFill="1" applyBorder="1" applyAlignment="1" applyProtection="1">
      <alignment horizontal="center" vertical="center" wrapText="1"/>
    </xf>
    <xf numFmtId="0" fontId="3" fillId="0" borderId="10" xfId="1" applyFont="1" applyBorder="1" applyAlignment="1" applyProtection="1">
      <alignment horizontal="left" vertical="center" wrapText="1"/>
    </xf>
    <xf numFmtId="0" fontId="3" fillId="0" borderId="11" xfId="1" applyFont="1" applyBorder="1" applyAlignment="1" applyProtection="1">
      <alignment horizontal="left" vertical="center" wrapText="1"/>
    </xf>
    <xf numFmtId="0" fontId="3" fillId="0" borderId="12" xfId="1" applyFont="1" applyBorder="1" applyAlignment="1" applyProtection="1">
      <alignment horizontal="left" vertical="center" wrapText="1"/>
    </xf>
    <xf numFmtId="0" fontId="13" fillId="0" borderId="2" xfId="1" applyFont="1" applyBorder="1" applyAlignment="1" applyProtection="1">
      <alignment horizontal="center" vertical="center"/>
    </xf>
    <xf numFmtId="0" fontId="13" fillId="0" borderId="5" xfId="1" applyFont="1" applyBorder="1" applyAlignment="1" applyProtection="1">
      <alignment horizontal="center" vertical="center"/>
    </xf>
    <xf numFmtId="0" fontId="13" fillId="0" borderId="8" xfId="1" applyFont="1" applyBorder="1" applyAlignment="1" applyProtection="1">
      <alignment horizontal="center" vertical="center"/>
    </xf>
    <xf numFmtId="0" fontId="13" fillId="0" borderId="2" xfId="1" applyFont="1" applyBorder="1" applyAlignment="1" applyProtection="1">
      <alignment horizontal="left" vertical="center" wrapText="1"/>
    </xf>
    <xf numFmtId="0" fontId="13" fillId="0" borderId="5" xfId="1" applyFont="1" applyBorder="1" applyAlignment="1" applyProtection="1">
      <alignment horizontal="left" vertical="center" wrapText="1"/>
    </xf>
    <xf numFmtId="0" fontId="13" fillId="0" borderId="8" xfId="1" applyFont="1" applyBorder="1" applyAlignment="1" applyProtection="1">
      <alignment horizontal="left" vertical="center" wrapText="1"/>
    </xf>
    <xf numFmtId="16" fontId="13" fillId="0" borderId="2" xfId="1" applyNumberFormat="1" applyFont="1" applyBorder="1" applyAlignment="1" applyProtection="1">
      <alignment horizontal="center" vertical="center"/>
    </xf>
    <xf numFmtId="16" fontId="13" fillId="0" borderId="5" xfId="1" applyNumberFormat="1" applyFont="1" applyBorder="1" applyAlignment="1" applyProtection="1">
      <alignment horizontal="center" vertical="center"/>
    </xf>
    <xf numFmtId="16" fontId="21" fillId="0" borderId="2" xfId="1" applyNumberFormat="1" applyFont="1" applyBorder="1" applyAlignment="1" applyProtection="1">
      <alignment horizontal="center" vertical="center"/>
    </xf>
    <xf numFmtId="16" fontId="21" fillId="0" borderId="5" xfId="1" applyNumberFormat="1" applyFont="1" applyBorder="1" applyAlignment="1" applyProtection="1">
      <alignment horizontal="center" vertical="center"/>
    </xf>
    <xf numFmtId="0" fontId="21" fillId="0" borderId="5" xfId="1" applyFont="1" applyBorder="1" applyAlignment="1" applyProtection="1">
      <alignment horizontal="center" vertical="center"/>
    </xf>
    <xf numFmtId="0" fontId="3" fillId="0" borderId="2" xfId="1" applyFont="1" applyBorder="1" applyAlignment="1" applyProtection="1">
      <alignment horizontal="right" vertical="center" wrapText="1"/>
    </xf>
    <xf numFmtId="0" fontId="3" fillId="0" borderId="5" xfId="1" applyFont="1" applyBorder="1" applyAlignment="1" applyProtection="1">
      <alignment horizontal="right" vertical="center" wrapText="1"/>
    </xf>
    <xf numFmtId="0" fontId="3" fillId="0" borderId="9" xfId="1" applyFont="1" applyBorder="1" applyAlignment="1" applyProtection="1">
      <alignment horizontal="right" vertical="center" wrapText="1"/>
    </xf>
    <xf numFmtId="0" fontId="21" fillId="0" borderId="2" xfId="1" applyFont="1" applyBorder="1" applyAlignment="1" applyProtection="1">
      <alignment horizontal="center" vertical="center"/>
    </xf>
    <xf numFmtId="0" fontId="21" fillId="0" borderId="8" xfId="1" applyFont="1" applyBorder="1" applyAlignment="1" applyProtection="1">
      <alignment horizontal="center" vertical="center"/>
    </xf>
    <xf numFmtId="0" fontId="27" fillId="0" borderId="2" xfId="1" applyFont="1" applyBorder="1" applyAlignment="1" applyProtection="1">
      <alignment horizontal="right" vertical="center" wrapText="1"/>
    </xf>
    <xf numFmtId="0" fontId="27" fillId="0" borderId="5" xfId="1" applyFont="1" applyBorder="1" applyAlignment="1" applyProtection="1">
      <alignment horizontal="right" vertical="center" wrapText="1"/>
    </xf>
    <xf numFmtId="0" fontId="28" fillId="0" borderId="9" xfId="1" applyFont="1" applyBorder="1" applyAlignment="1" applyProtection="1">
      <alignment horizontal="right" vertical="center" wrapText="1"/>
    </xf>
    <xf numFmtId="16" fontId="3" fillId="0" borderId="2" xfId="1" applyNumberFormat="1" applyFont="1" applyBorder="1" applyAlignment="1" applyProtection="1">
      <alignment horizontal="center" vertical="center"/>
    </xf>
    <xf numFmtId="16" fontId="3" fillId="0" borderId="5" xfId="1" applyNumberFormat="1" applyFont="1" applyBorder="1" applyAlignment="1" applyProtection="1">
      <alignment horizontal="center" vertical="center"/>
    </xf>
    <xf numFmtId="0" fontId="3" fillId="0" borderId="5" xfId="1" applyFont="1" applyBorder="1" applyAlignment="1" applyProtection="1">
      <alignment horizontal="center" vertical="center"/>
    </xf>
    <xf numFmtId="0" fontId="28" fillId="0" borderId="2" xfId="1" applyFont="1" applyBorder="1" applyAlignment="1" applyProtection="1">
      <alignment horizontal="right" vertical="center" wrapText="1"/>
    </xf>
    <xf numFmtId="0" fontId="28" fillId="0" borderId="5" xfId="1" applyFont="1" applyBorder="1" applyAlignment="1" applyProtection="1">
      <alignment horizontal="right" vertical="center" wrapText="1"/>
    </xf>
    <xf numFmtId="0" fontId="28" fillId="0" borderId="8" xfId="1" applyFont="1" applyBorder="1" applyAlignment="1" applyProtection="1">
      <alignment horizontal="right" vertical="center" wrapText="1"/>
    </xf>
    <xf numFmtId="16" fontId="2" fillId="0" borderId="2" xfId="1" applyNumberFormat="1" applyFont="1" applyBorder="1" applyAlignment="1" applyProtection="1">
      <alignment horizontal="center" vertical="center"/>
    </xf>
    <xf numFmtId="16" fontId="2" fillId="0" borderId="5" xfId="1" applyNumberFormat="1" applyFont="1" applyBorder="1" applyAlignment="1" applyProtection="1">
      <alignment horizontal="center" vertical="center"/>
    </xf>
    <xf numFmtId="0" fontId="2" fillId="0" borderId="5" xfId="1" applyFont="1" applyBorder="1" applyAlignment="1" applyProtection="1">
      <alignment horizontal="center" vertical="center"/>
    </xf>
    <xf numFmtId="0" fontId="27" fillId="0" borderId="9" xfId="1" applyFont="1" applyBorder="1" applyAlignment="1" applyProtection="1">
      <alignment horizontal="right" vertical="center" wrapText="1"/>
    </xf>
    <xf numFmtId="0" fontId="13" fillId="0" borderId="2" xfId="1" applyFont="1" applyFill="1" applyBorder="1" applyAlignment="1" applyProtection="1">
      <alignment horizontal="center" vertical="center"/>
    </xf>
    <xf numFmtId="0" fontId="13" fillId="0" borderId="8" xfId="1" applyFont="1" applyFill="1" applyBorder="1" applyAlignment="1" applyProtection="1">
      <alignment horizontal="center" vertical="center"/>
    </xf>
    <xf numFmtId="0" fontId="28" fillId="0" borderId="9" xfId="1" applyFont="1" applyFill="1" applyBorder="1" applyAlignment="1" applyProtection="1">
      <alignment horizontal="right" vertical="center" wrapText="1"/>
    </xf>
    <xf numFmtId="0" fontId="27" fillId="0" borderId="2" xfId="1" applyFont="1" applyFill="1" applyBorder="1" applyAlignment="1" applyProtection="1">
      <alignment horizontal="right" vertical="center" wrapText="1"/>
    </xf>
    <xf numFmtId="0" fontId="27" fillId="0" borderId="5" xfId="1" applyFont="1" applyFill="1" applyBorder="1" applyAlignment="1" applyProtection="1">
      <alignment horizontal="right" vertical="center" wrapText="1"/>
    </xf>
    <xf numFmtId="0" fontId="27" fillId="0" borderId="8" xfId="1" applyFont="1" applyFill="1" applyBorder="1" applyAlignment="1" applyProtection="1">
      <alignment horizontal="right" vertical="center" wrapText="1"/>
    </xf>
    <xf numFmtId="0" fontId="3" fillId="0" borderId="8" xfId="1" applyFont="1" applyBorder="1" applyAlignment="1" applyProtection="1">
      <alignment horizontal="right" vertical="center" wrapText="1"/>
    </xf>
    <xf numFmtId="0" fontId="13" fillId="0" borderId="2" xfId="1" applyFont="1" applyFill="1" applyBorder="1" applyAlignment="1" applyProtection="1">
      <alignment horizontal="left" vertical="center" wrapText="1"/>
    </xf>
    <xf numFmtId="0" fontId="13" fillId="0" borderId="8" xfId="1" applyFont="1" applyFill="1" applyBorder="1" applyAlignment="1" applyProtection="1">
      <alignment horizontal="left" vertical="center" wrapText="1"/>
    </xf>
    <xf numFmtId="0" fontId="3" fillId="0" borderId="2" xfId="1" applyFont="1" applyFill="1" applyBorder="1" applyAlignment="1" applyProtection="1">
      <alignment horizontal="right" vertical="center" wrapText="1"/>
    </xf>
    <xf numFmtId="0" fontId="3" fillId="0" borderId="5" xfId="1" applyFont="1" applyFill="1" applyBorder="1" applyAlignment="1" applyProtection="1">
      <alignment horizontal="right" vertical="center" wrapText="1"/>
    </xf>
    <xf numFmtId="0" fontId="23" fillId="0" borderId="2" xfId="1" applyFont="1" applyBorder="1" applyAlignment="1" applyProtection="1">
      <alignment horizontal="center" vertical="center"/>
    </xf>
    <xf numFmtId="0" fontId="23" fillId="0" borderId="5" xfId="1" applyFont="1" applyBorder="1" applyAlignment="1" applyProtection="1">
      <alignment horizontal="center" vertical="center"/>
    </xf>
    <xf numFmtId="0" fontId="23" fillId="0" borderId="8" xfId="1" applyFont="1" applyBorder="1" applyAlignment="1" applyProtection="1">
      <alignment horizontal="center" vertical="center"/>
    </xf>
    <xf numFmtId="0" fontId="13" fillId="0" borderId="5" xfId="1" applyFont="1" applyFill="1" applyBorder="1" applyAlignment="1" applyProtection="1">
      <alignment horizontal="center" vertical="center"/>
    </xf>
    <xf numFmtId="0" fontId="3" fillId="2" borderId="10" xfId="1" applyFont="1" applyFill="1" applyBorder="1" applyAlignment="1" applyProtection="1">
      <alignment horizontal="left" vertical="center" wrapText="1"/>
    </xf>
    <xf numFmtId="0" fontId="3" fillId="2" borderId="11" xfId="1" applyFont="1" applyFill="1" applyBorder="1" applyAlignment="1" applyProtection="1">
      <alignment horizontal="left" vertical="center" wrapText="1"/>
    </xf>
    <xf numFmtId="0" fontId="3" fillId="2" borderId="12" xfId="1" applyFont="1" applyFill="1" applyBorder="1" applyAlignment="1" applyProtection="1">
      <alignment horizontal="left" vertical="center" wrapText="1"/>
    </xf>
    <xf numFmtId="0" fontId="13" fillId="2" borderId="2" xfId="1" applyFont="1" applyFill="1" applyBorder="1" applyAlignment="1" applyProtection="1">
      <alignment horizontal="center" vertical="center"/>
    </xf>
    <xf numFmtId="0" fontId="13" fillId="2" borderId="5" xfId="1" applyFont="1" applyFill="1" applyBorder="1" applyAlignment="1" applyProtection="1">
      <alignment horizontal="center" vertical="center"/>
    </xf>
    <xf numFmtId="0" fontId="13" fillId="2" borderId="8" xfId="1" applyFont="1" applyFill="1" applyBorder="1" applyAlignment="1" applyProtection="1">
      <alignment horizontal="center" vertical="center"/>
    </xf>
    <xf numFmtId="0" fontId="13" fillId="2" borderId="2" xfId="1" applyFont="1" applyFill="1" applyBorder="1" applyAlignment="1" applyProtection="1">
      <alignment horizontal="center" vertical="center" wrapText="1"/>
    </xf>
    <xf numFmtId="0" fontId="13" fillId="2" borderId="5" xfId="1" applyFont="1" applyFill="1" applyBorder="1" applyAlignment="1" applyProtection="1">
      <alignment horizontal="center" vertical="center" wrapText="1"/>
    </xf>
    <xf numFmtId="0" fontId="13" fillId="2" borderId="8" xfId="1" applyFont="1" applyFill="1" applyBorder="1" applyAlignment="1" applyProtection="1">
      <alignment horizontal="center" vertical="center" wrapText="1"/>
    </xf>
    <xf numFmtId="0" fontId="3" fillId="0" borderId="10" xfId="1" applyFont="1" applyFill="1" applyBorder="1" applyAlignment="1" applyProtection="1">
      <alignment horizontal="left" vertical="center" wrapText="1"/>
    </xf>
    <xf numFmtId="0" fontId="3" fillId="0" borderId="11" xfId="1" applyFont="1" applyFill="1" applyBorder="1" applyAlignment="1" applyProtection="1">
      <alignment horizontal="left" vertical="center" wrapText="1"/>
    </xf>
    <xf numFmtId="0" fontId="3" fillId="0" borderId="12" xfId="1" applyFont="1" applyFill="1" applyBorder="1" applyAlignment="1" applyProtection="1">
      <alignment horizontal="left" vertical="center" wrapText="1"/>
    </xf>
    <xf numFmtId="0" fontId="3" fillId="0" borderId="8" xfId="1" applyFont="1" applyFill="1" applyBorder="1" applyAlignment="1" applyProtection="1">
      <alignment horizontal="right" vertical="center" wrapText="1"/>
    </xf>
    <xf numFmtId="0" fontId="13" fillId="0" borderId="5" xfId="1" applyFont="1" applyFill="1" applyBorder="1" applyAlignment="1" applyProtection="1">
      <alignment horizontal="left" vertical="center" wrapText="1"/>
    </xf>
    <xf numFmtId="0" fontId="28" fillId="0" borderId="2" xfId="1" applyFont="1" applyFill="1" applyBorder="1" applyAlignment="1" applyProtection="1">
      <alignment horizontal="right" vertical="center" wrapText="1"/>
    </xf>
    <xf numFmtId="0" fontId="28" fillId="0" borderId="5" xfId="1" applyFont="1" applyFill="1" applyBorder="1" applyAlignment="1" applyProtection="1">
      <alignment horizontal="right" vertical="center" wrapText="1"/>
    </xf>
    <xf numFmtId="0" fontId="28" fillId="0" borderId="8" xfId="1" applyFont="1" applyFill="1" applyBorder="1" applyAlignment="1" applyProtection="1">
      <alignment horizontal="right" vertical="center" wrapText="1"/>
    </xf>
    <xf numFmtId="14" fontId="13" fillId="0" borderId="2" xfId="1" applyNumberFormat="1" applyFont="1" applyBorder="1" applyAlignment="1" applyProtection="1">
      <alignment horizontal="center" vertical="center"/>
    </xf>
    <xf numFmtId="0" fontId="0" fillId="0" borderId="8" xfId="0" applyBorder="1" applyAlignment="1">
      <alignment horizontal="center" vertical="center"/>
    </xf>
    <xf numFmtId="0" fontId="12" fillId="0" borderId="8" xfId="0" applyFont="1" applyFill="1" applyBorder="1" applyAlignment="1">
      <alignment horizontal="right" vertical="center" wrapText="1"/>
    </xf>
    <xf numFmtId="0" fontId="12" fillId="0" borderId="8" xfId="0" applyFont="1" applyBorder="1" applyAlignment="1">
      <alignment horizontal="center" vertical="center"/>
    </xf>
    <xf numFmtId="0" fontId="33" fillId="0" borderId="2" xfId="1" applyFont="1" applyFill="1" applyBorder="1" applyAlignment="1" applyProtection="1">
      <alignment horizontal="center" vertical="center"/>
    </xf>
    <xf numFmtId="0" fontId="33" fillId="0" borderId="5" xfId="1" applyFont="1" applyFill="1" applyBorder="1" applyAlignment="1" applyProtection="1">
      <alignment horizontal="center" vertical="center"/>
    </xf>
    <xf numFmtId="0" fontId="33" fillId="0" borderId="8" xfId="1" applyFont="1" applyFill="1" applyBorder="1" applyAlignment="1" applyProtection="1">
      <alignment horizontal="center" vertical="center"/>
    </xf>
    <xf numFmtId="0" fontId="13" fillId="0" borderId="2" xfId="1" applyFont="1" applyBorder="1" applyAlignment="1" applyProtection="1">
      <alignment horizontal="center"/>
    </xf>
    <xf numFmtId="0" fontId="13" fillId="0" borderId="5" xfId="1" applyFont="1" applyBorder="1" applyAlignment="1" applyProtection="1">
      <alignment horizontal="center"/>
    </xf>
    <xf numFmtId="0" fontId="13" fillId="0" borderId="8" xfId="1" applyFont="1" applyBorder="1" applyAlignment="1" applyProtection="1">
      <alignment horizontal="center"/>
    </xf>
    <xf numFmtId="16" fontId="13" fillId="2" borderId="2" xfId="1" applyNumberFormat="1" applyFont="1" applyFill="1" applyBorder="1" applyAlignment="1" applyProtection="1">
      <alignment horizontal="center" vertical="center"/>
    </xf>
    <xf numFmtId="16" fontId="13" fillId="2" borderId="5" xfId="1" applyNumberFormat="1" applyFont="1" applyFill="1" applyBorder="1" applyAlignment="1" applyProtection="1">
      <alignment horizontal="center" vertical="center"/>
    </xf>
    <xf numFmtId="16" fontId="13" fillId="2" borderId="8" xfId="1" applyNumberFormat="1" applyFont="1" applyFill="1" applyBorder="1" applyAlignment="1" applyProtection="1">
      <alignment horizontal="center" vertical="center"/>
    </xf>
    <xf numFmtId="0" fontId="23" fillId="18" borderId="2" xfId="1" applyFont="1" applyFill="1" applyBorder="1" applyAlignment="1" applyProtection="1">
      <alignment horizontal="center" vertical="center"/>
    </xf>
    <xf numFmtId="0" fontId="23" fillId="18" borderId="5" xfId="1" applyFont="1" applyFill="1" applyBorder="1" applyAlignment="1" applyProtection="1">
      <alignment horizontal="center" vertical="center"/>
    </xf>
    <xf numFmtId="0" fontId="23" fillId="18" borderId="8" xfId="1" applyFont="1" applyFill="1" applyBorder="1" applyAlignment="1" applyProtection="1">
      <alignment horizontal="center" vertical="center"/>
    </xf>
    <xf numFmtId="0" fontId="13" fillId="18" borderId="2" xfId="1" applyFont="1" applyFill="1" applyBorder="1" applyAlignment="1" applyProtection="1">
      <alignment horizontal="center" vertical="center" wrapText="1"/>
    </xf>
    <xf numFmtId="0" fontId="13" fillId="18" borderId="5" xfId="1" applyFont="1" applyFill="1" applyBorder="1" applyAlignment="1" applyProtection="1">
      <alignment horizontal="center" vertical="center" wrapText="1"/>
    </xf>
    <xf numFmtId="0" fontId="13" fillId="18" borderId="8" xfId="1" applyFont="1" applyFill="1" applyBorder="1" applyAlignment="1" applyProtection="1">
      <alignment horizontal="center" vertical="center" wrapText="1"/>
    </xf>
    <xf numFmtId="0" fontId="13" fillId="7" borderId="2" xfId="1" applyFont="1" applyFill="1" applyBorder="1" applyAlignment="1" applyProtection="1">
      <alignment horizontal="center" vertical="center" wrapText="1"/>
    </xf>
    <xf numFmtId="0" fontId="13" fillId="7" borderId="5" xfId="1" applyFont="1" applyFill="1" applyBorder="1" applyAlignment="1" applyProtection="1">
      <alignment horizontal="center" vertical="center" wrapText="1"/>
    </xf>
    <xf numFmtId="0" fontId="13" fillId="7" borderId="8" xfId="1" applyFont="1" applyFill="1" applyBorder="1" applyAlignment="1" applyProtection="1">
      <alignment horizontal="center" vertical="center" wrapText="1"/>
    </xf>
    <xf numFmtId="0" fontId="3" fillId="0" borderId="6" xfId="1" applyFont="1" applyBorder="1" applyAlignment="1" applyProtection="1">
      <alignment horizontal="left" vertical="center" wrapText="1"/>
    </xf>
    <xf numFmtId="0" fontId="3" fillId="0" borderId="1" xfId="1" applyFont="1" applyBorder="1" applyAlignment="1" applyProtection="1">
      <alignment horizontal="left" vertical="center" wrapText="1"/>
    </xf>
    <xf numFmtId="0" fontId="12" fillId="0" borderId="8" xfId="0" applyFont="1" applyFill="1" applyBorder="1" applyAlignment="1">
      <alignment horizontal="left" vertical="center" wrapText="1"/>
    </xf>
    <xf numFmtId="164" fontId="13" fillId="0" borderId="3" xfId="1" applyNumberFormat="1" applyFont="1" applyFill="1" applyBorder="1" applyAlignment="1" applyProtection="1">
      <alignment horizontal="center" vertical="center" wrapText="1"/>
    </xf>
    <xf numFmtId="164" fontId="13" fillId="0" borderId="4" xfId="1" applyNumberFormat="1" applyFont="1" applyFill="1" applyBorder="1" applyAlignment="1" applyProtection="1">
      <alignment horizontal="center" vertical="center" wrapText="1"/>
    </xf>
    <xf numFmtId="164" fontId="13" fillId="0" borderId="6" xfId="1" applyNumberFormat="1" applyFont="1" applyFill="1" applyBorder="1" applyAlignment="1" applyProtection="1">
      <alignment horizontal="center" vertical="center" wrapText="1"/>
    </xf>
    <xf numFmtId="164" fontId="13" fillId="0" borderId="7" xfId="1" applyNumberFormat="1" applyFont="1" applyFill="1" applyBorder="1" applyAlignment="1" applyProtection="1">
      <alignment horizontal="center" vertical="center" wrapText="1"/>
    </xf>
    <xf numFmtId="164" fontId="13" fillId="0" borderId="0" xfId="1" applyNumberFormat="1" applyFont="1" applyFill="1" applyAlignment="1" applyProtection="1">
      <alignment horizontal="center" vertical="center" wrapText="1"/>
    </xf>
    <xf numFmtId="164" fontId="13" fillId="0" borderId="1" xfId="1" applyNumberFormat="1" applyFont="1" applyFill="1" applyBorder="1" applyAlignment="1" applyProtection="1">
      <alignment horizontal="center" vertical="center" wrapText="1"/>
    </xf>
    <xf numFmtId="0" fontId="13" fillId="0" borderId="2" xfId="1" applyFont="1" applyFill="1" applyBorder="1" applyAlignment="1" applyProtection="1">
      <alignment horizontal="left" vertical="top" wrapText="1"/>
    </xf>
    <xf numFmtId="0" fontId="13" fillId="0" borderId="5" xfId="1" applyFont="1" applyFill="1" applyBorder="1" applyAlignment="1" applyProtection="1">
      <alignment horizontal="left" vertical="top" wrapText="1"/>
    </xf>
    <xf numFmtId="0" fontId="13" fillId="0" borderId="8" xfId="1" applyFont="1" applyFill="1" applyBorder="1" applyAlignment="1" applyProtection="1">
      <alignment horizontal="left" vertical="top" wrapText="1"/>
    </xf>
    <xf numFmtId="0" fontId="13" fillId="0" borderId="2" xfId="1" applyFont="1" applyFill="1" applyBorder="1" applyAlignment="1" applyProtection="1">
      <alignment horizontal="center" vertical="top" wrapText="1"/>
    </xf>
    <xf numFmtId="0" fontId="13" fillId="0" borderId="5" xfId="1" applyFont="1" applyFill="1" applyBorder="1" applyAlignment="1" applyProtection="1">
      <alignment horizontal="center" vertical="top" wrapText="1"/>
    </xf>
    <xf numFmtId="0" fontId="13" fillId="0" borderId="8" xfId="1" applyFont="1" applyFill="1" applyBorder="1" applyAlignment="1" applyProtection="1">
      <alignment horizontal="center" vertical="top" wrapText="1"/>
    </xf>
    <xf numFmtId="0" fontId="21" fillId="0" borderId="2" xfId="1" applyFont="1" applyBorder="1" applyAlignment="1" applyProtection="1">
      <alignment horizontal="center"/>
    </xf>
    <xf numFmtId="0" fontId="21" fillId="0" borderId="8" xfId="1" applyFont="1" applyBorder="1" applyAlignment="1" applyProtection="1">
      <alignment horizontal="center"/>
    </xf>
    <xf numFmtId="0" fontId="3" fillId="0" borderId="2" xfId="1" applyFont="1" applyBorder="1" applyAlignment="1" applyProtection="1">
      <alignment horizontal="center" vertical="top" wrapText="1"/>
    </xf>
    <xf numFmtId="0" fontId="3" fillId="0" borderId="8" xfId="1" applyFont="1" applyBorder="1" applyAlignment="1" applyProtection="1">
      <alignment horizontal="center" vertical="top" wrapText="1"/>
    </xf>
    <xf numFmtId="0" fontId="21" fillId="0" borderId="2" xfId="1" applyFont="1" applyBorder="1" applyAlignment="1" applyProtection="1">
      <alignment horizontal="center" vertical="center" wrapText="1"/>
    </xf>
    <xf numFmtId="0" fontId="21" fillId="0" borderId="8" xfId="1" applyFont="1" applyBorder="1" applyAlignment="1" applyProtection="1">
      <alignment horizontal="center" vertical="center" wrapText="1"/>
    </xf>
    <xf numFmtId="0" fontId="3" fillId="0" borderId="2" xfId="1" applyFont="1" applyBorder="1" applyAlignment="1" applyProtection="1">
      <alignment horizontal="center" vertical="center" wrapText="1"/>
    </xf>
    <xf numFmtId="0" fontId="3" fillId="0" borderId="8" xfId="1" applyFont="1" applyBorder="1" applyAlignment="1" applyProtection="1">
      <alignment horizontal="center" vertical="center" wrapText="1"/>
    </xf>
    <xf numFmtId="0" fontId="21" fillId="0" borderId="2" xfId="1" applyFont="1" applyBorder="1" applyAlignment="1" applyProtection="1">
      <alignment horizontal="center" wrapText="1"/>
    </xf>
    <xf numFmtId="0" fontId="21" fillId="0" borderId="5" xfId="1" applyFont="1" applyBorder="1" applyAlignment="1" applyProtection="1">
      <alignment horizontal="center" wrapText="1"/>
    </xf>
    <xf numFmtId="0" fontId="3" fillId="0" borderId="5" xfId="1" applyFont="1" applyBorder="1" applyAlignment="1" applyProtection="1">
      <alignment horizontal="center" vertical="center" wrapText="1"/>
    </xf>
    <xf numFmtId="0" fontId="3" fillId="0" borderId="2" xfId="1" applyFont="1" applyBorder="1" applyAlignment="1" applyProtection="1">
      <alignment horizontal="right" vertical="top" wrapText="1"/>
    </xf>
    <xf numFmtId="0" fontId="3" fillId="0" borderId="8" xfId="1" applyFont="1" applyBorder="1" applyAlignment="1" applyProtection="1">
      <alignment horizontal="right" vertical="top" wrapText="1"/>
    </xf>
    <xf numFmtId="17" fontId="3" fillId="0" borderId="2" xfId="1" applyNumberFormat="1" applyFont="1" applyBorder="1" applyAlignment="1" applyProtection="1">
      <alignment horizontal="center" vertical="center"/>
    </xf>
    <xf numFmtId="0" fontId="3" fillId="0" borderId="8" xfId="1" applyFont="1" applyBorder="1" applyAlignment="1" applyProtection="1">
      <alignment horizontal="center" vertical="center"/>
    </xf>
    <xf numFmtId="16" fontId="13" fillId="0" borderId="8" xfId="1" applyNumberFormat="1" applyFont="1" applyBorder="1" applyAlignment="1" applyProtection="1">
      <alignment horizontal="center" vertical="center"/>
    </xf>
    <xf numFmtId="0" fontId="3" fillId="0" borderId="2" xfId="1" applyFont="1" applyBorder="1" applyAlignment="1" applyProtection="1">
      <alignment horizontal="center" vertical="center"/>
    </xf>
    <xf numFmtId="164" fontId="13" fillId="16" borderId="3" xfId="1" applyNumberFormat="1" applyFont="1" applyFill="1" applyBorder="1" applyAlignment="1" applyProtection="1">
      <alignment horizontal="center" vertical="center" wrapText="1"/>
    </xf>
    <xf numFmtId="164" fontId="13" fillId="16" borderId="4" xfId="1" applyNumberFormat="1" applyFont="1" applyFill="1" applyBorder="1" applyAlignment="1" applyProtection="1">
      <alignment horizontal="center" vertical="center" wrapText="1"/>
    </xf>
    <xf numFmtId="164" fontId="13" fillId="16" borderId="6" xfId="1" applyNumberFormat="1" applyFont="1" applyFill="1" applyBorder="1" applyAlignment="1" applyProtection="1">
      <alignment horizontal="center" vertical="center" wrapText="1"/>
    </xf>
    <xf numFmtId="164" fontId="13" fillId="16" borderId="7" xfId="1" applyNumberFormat="1" applyFont="1" applyFill="1" applyBorder="1" applyAlignment="1" applyProtection="1">
      <alignment horizontal="center" vertical="center" wrapText="1"/>
    </xf>
    <xf numFmtId="0" fontId="3" fillId="0" borderId="9" xfId="1" applyFont="1" applyBorder="1" applyAlignment="1" applyProtection="1">
      <alignment horizontal="left" vertical="center" wrapText="1"/>
    </xf>
    <xf numFmtId="0" fontId="28" fillId="0" borderId="9" xfId="1" applyFont="1" applyBorder="1" applyAlignment="1" applyProtection="1">
      <alignment horizontal="left" vertical="center" wrapText="1"/>
    </xf>
    <xf numFmtId="0" fontId="13" fillId="4" borderId="2" xfId="1" applyFont="1" applyFill="1" applyBorder="1" applyAlignment="1" applyProtection="1">
      <alignment horizontal="center" vertical="center"/>
    </xf>
    <xf numFmtId="0" fontId="13" fillId="4" borderId="8" xfId="1" applyFont="1" applyFill="1" applyBorder="1" applyAlignment="1" applyProtection="1">
      <alignment horizontal="center" vertical="center"/>
    </xf>
    <xf numFmtId="0" fontId="13" fillId="4" borderId="2" xfId="1" applyFont="1" applyFill="1" applyBorder="1" applyAlignment="1" applyProtection="1">
      <alignment horizontal="left" vertical="center" wrapText="1"/>
    </xf>
    <xf numFmtId="0" fontId="13" fillId="4" borderId="8" xfId="1" applyFont="1" applyFill="1" applyBorder="1" applyAlignment="1" applyProtection="1">
      <alignment horizontal="left" vertical="center" wrapText="1"/>
    </xf>
    <xf numFmtId="0" fontId="3" fillId="0" borderId="2" xfId="1" applyFont="1" applyBorder="1" applyAlignment="1" applyProtection="1">
      <alignment horizontal="left" vertical="center" wrapText="1"/>
    </xf>
    <xf numFmtId="0" fontId="3" fillId="0" borderId="5" xfId="1" applyFont="1" applyBorder="1" applyAlignment="1" applyProtection="1">
      <alignment horizontal="left" vertical="center" wrapText="1"/>
    </xf>
    <xf numFmtId="0" fontId="27" fillId="0" borderId="2" xfId="1" applyFont="1" applyBorder="1" applyAlignment="1" applyProtection="1">
      <alignment horizontal="left" vertical="center" wrapText="1"/>
    </xf>
    <xf numFmtId="0" fontId="27" fillId="0" borderId="5" xfId="1" applyFont="1" applyBorder="1" applyAlignment="1" applyProtection="1">
      <alignment horizontal="left" vertical="center" wrapText="1"/>
    </xf>
    <xf numFmtId="0" fontId="27" fillId="4" borderId="2" xfId="1" applyFont="1" applyFill="1" applyBorder="1" applyAlignment="1" applyProtection="1">
      <alignment horizontal="left" vertical="center" wrapText="1"/>
    </xf>
    <xf numFmtId="0" fontId="27" fillId="4" borderId="5" xfId="1" applyFont="1" applyFill="1" applyBorder="1" applyAlignment="1" applyProtection="1">
      <alignment horizontal="left" vertical="center" wrapText="1"/>
    </xf>
    <xf numFmtId="0" fontId="28" fillId="0" borderId="2" xfId="1" applyFont="1" applyBorder="1" applyAlignment="1" applyProtection="1">
      <alignment horizontal="left" vertical="center" wrapText="1"/>
    </xf>
    <xf numFmtId="0" fontId="28" fillId="0" borderId="5" xfId="1" applyFont="1" applyBorder="1" applyAlignment="1" applyProtection="1">
      <alignment horizontal="left" vertical="center" wrapText="1"/>
    </xf>
    <xf numFmtId="0" fontId="41" fillId="0" borderId="9" xfId="1" applyFont="1" applyBorder="1" applyAlignment="1" applyProtection="1">
      <alignment horizontal="left" vertical="center" wrapText="1"/>
    </xf>
    <xf numFmtId="16" fontId="38" fillId="0" borderId="2" xfId="1" applyNumberFormat="1" applyFont="1" applyBorder="1" applyAlignment="1" applyProtection="1">
      <alignment horizontal="center" vertical="center"/>
    </xf>
    <xf numFmtId="16" fontId="38" fillId="0" borderId="5" xfId="1" applyNumberFormat="1" applyFont="1" applyBorder="1" applyAlignment="1" applyProtection="1">
      <alignment horizontal="center" vertical="center"/>
    </xf>
    <xf numFmtId="0" fontId="41" fillId="0" borderId="2" xfId="1" applyFont="1" applyBorder="1" applyAlignment="1" applyProtection="1">
      <alignment horizontal="left" vertical="center" wrapText="1"/>
    </xf>
    <xf numFmtId="0" fontId="41" fillId="0" borderId="5" xfId="1" applyFont="1" applyBorder="1" applyAlignment="1" applyProtection="1">
      <alignment horizontal="left" vertical="center" wrapText="1"/>
    </xf>
    <xf numFmtId="16" fontId="35" fillId="0" borderId="2" xfId="1" applyNumberFormat="1" applyFont="1" applyBorder="1" applyAlignment="1" applyProtection="1">
      <alignment horizontal="center" vertical="center"/>
    </xf>
    <xf numFmtId="16" fontId="35" fillId="0" borderId="5" xfId="1" applyNumberFormat="1" applyFont="1" applyBorder="1" applyAlignment="1" applyProtection="1">
      <alignment horizontal="center" vertical="center"/>
    </xf>
    <xf numFmtId="0" fontId="40" fillId="0" borderId="2" xfId="1" applyFont="1" applyBorder="1" applyAlignment="1" applyProtection="1">
      <alignment horizontal="left" vertical="center" wrapText="1"/>
    </xf>
    <xf numFmtId="0" fontId="40" fillId="0" borderId="5" xfId="1" applyFont="1" applyBorder="1" applyAlignment="1" applyProtection="1">
      <alignment horizontal="left" vertical="center" wrapText="1"/>
    </xf>
    <xf numFmtId="0" fontId="35" fillId="4" borderId="2" xfId="1" applyFont="1" applyFill="1" applyBorder="1" applyAlignment="1" applyProtection="1">
      <alignment horizontal="center" vertical="center"/>
    </xf>
    <xf numFmtId="0" fontId="35" fillId="4" borderId="8" xfId="1" applyFont="1" applyFill="1" applyBorder="1" applyAlignment="1" applyProtection="1">
      <alignment horizontal="center" vertical="center"/>
    </xf>
    <xf numFmtId="0" fontId="35" fillId="4" borderId="2" xfId="1" applyFont="1" applyFill="1" applyBorder="1" applyAlignment="1" applyProtection="1">
      <alignment horizontal="left" vertical="center" wrapText="1"/>
    </xf>
    <xf numFmtId="0" fontId="35" fillId="4" borderId="5" xfId="1" applyFont="1" applyFill="1" applyBorder="1" applyAlignment="1" applyProtection="1">
      <alignment horizontal="left" vertical="center" wrapText="1"/>
    </xf>
    <xf numFmtId="0" fontId="3" fillId="0" borderId="7" xfId="1" applyFont="1" applyBorder="1" applyAlignment="1" applyProtection="1">
      <alignment horizontal="left" vertical="center" wrapText="1"/>
    </xf>
    <xf numFmtId="16" fontId="35" fillId="4" borderId="2" xfId="1" applyNumberFormat="1" applyFont="1" applyFill="1" applyBorder="1" applyAlignment="1" applyProtection="1">
      <alignment horizontal="left" vertical="center"/>
    </xf>
    <xf numFmtId="16" fontId="35" fillId="4" borderId="5" xfId="1" applyNumberFormat="1" applyFont="1" applyFill="1" applyBorder="1" applyAlignment="1" applyProtection="1">
      <alignment horizontal="left" vertical="center"/>
    </xf>
    <xf numFmtId="0" fontId="35" fillId="4" borderId="5" xfId="1" applyFont="1" applyFill="1" applyBorder="1" applyAlignment="1" applyProtection="1">
      <alignment horizontal="left" vertical="center"/>
    </xf>
    <xf numFmtId="0" fontId="35" fillId="0" borderId="2" xfId="1" applyFont="1" applyFill="1" applyBorder="1" applyAlignment="1" applyProtection="1">
      <alignment horizontal="center" vertical="center"/>
    </xf>
    <xf numFmtId="0" fontId="35" fillId="0" borderId="8" xfId="1" applyFont="1" applyFill="1" applyBorder="1" applyAlignment="1" applyProtection="1">
      <alignment horizontal="center" vertical="center"/>
    </xf>
    <xf numFmtId="0" fontId="40" fillId="0" borderId="2" xfId="1" applyFont="1" applyFill="1" applyBorder="1" applyAlignment="1" applyProtection="1">
      <alignment horizontal="left" vertical="center" wrapText="1"/>
    </xf>
    <xf numFmtId="0" fontId="40" fillId="0" borderId="5" xfId="1" applyFont="1" applyFill="1" applyBorder="1" applyAlignment="1" applyProtection="1">
      <alignment horizontal="left" vertical="center" wrapText="1"/>
    </xf>
    <xf numFmtId="0" fontId="3" fillId="0" borderId="8" xfId="1" applyFont="1" applyBorder="1" applyAlignment="1" applyProtection="1">
      <alignment horizontal="left" vertical="center" wrapText="1"/>
    </xf>
    <xf numFmtId="0" fontId="13" fillId="5" borderId="2" xfId="1" applyFont="1" applyFill="1" applyBorder="1" applyAlignment="1" applyProtection="1">
      <alignment horizontal="center" vertical="center" wrapText="1"/>
    </xf>
    <xf numFmtId="0" fontId="13" fillId="5" borderId="5" xfId="1" applyFont="1" applyFill="1" applyBorder="1" applyAlignment="1" applyProtection="1">
      <alignment horizontal="center" vertical="center" wrapText="1"/>
    </xf>
    <xf numFmtId="0" fontId="13" fillId="5" borderId="8" xfId="1" applyFont="1" applyFill="1" applyBorder="1" applyAlignment="1" applyProtection="1">
      <alignment horizontal="center" vertical="center" wrapText="1"/>
    </xf>
    <xf numFmtId="0" fontId="13" fillId="0" borderId="2" xfId="1" applyFont="1" applyBorder="1" applyAlignment="1" applyProtection="1">
      <alignment horizontal="center" wrapText="1"/>
    </xf>
    <xf numFmtId="0" fontId="13" fillId="0" borderId="8" xfId="1" applyFont="1" applyBorder="1" applyAlignment="1" applyProtection="1">
      <alignment horizontal="center" wrapText="1"/>
    </xf>
    <xf numFmtId="0" fontId="32" fillId="0" borderId="2" xfId="1" applyFont="1" applyBorder="1" applyAlignment="1" applyProtection="1">
      <alignment horizontal="left" vertical="center" wrapText="1"/>
    </xf>
    <xf numFmtId="0" fontId="32" fillId="0" borderId="5" xfId="1" applyFont="1" applyBorder="1" applyAlignment="1" applyProtection="1">
      <alignment horizontal="left" vertical="center" wrapText="1"/>
    </xf>
    <xf numFmtId="0" fontId="32" fillId="0" borderId="8" xfId="1" applyFont="1" applyBorder="1" applyAlignment="1" applyProtection="1">
      <alignment horizontal="left" vertical="center" wrapText="1"/>
    </xf>
    <xf numFmtId="164" fontId="13" fillId="0" borderId="8" xfId="1" applyNumberFormat="1" applyFont="1" applyBorder="1" applyAlignment="1" applyProtection="1">
      <alignment horizontal="center" vertical="center" wrapText="1"/>
    </xf>
  </cellXfs>
  <cellStyles count="5">
    <cellStyle name="Обычный" xfId="0" builtinId="0"/>
    <cellStyle name="Обычный 2" xfId="2"/>
    <cellStyle name="Обычный 3" xfId="1"/>
    <cellStyle name="Финансовый 2 2" xfId="4"/>
    <cellStyle name="Финансовый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revisionHeaders" Target="revisions/revisionHeaders.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usernames" Target="revisions/userNam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revisions/_rels/revisionHeaders.xml.rels><?xml version="1.0" encoding="UTF-8" standalone="yes"?>
<Relationships xmlns="http://schemas.openxmlformats.org/package/2006/relationships"><Relationship Id="rId117" Type="http://schemas.openxmlformats.org/officeDocument/2006/relationships/revisionLog" Target="revisionLog15.xml"/><Relationship Id="rId109" Type="http://schemas.openxmlformats.org/officeDocument/2006/relationships/revisionLog" Target="revisionLog7.xml"/><Relationship Id="rId112" Type="http://schemas.openxmlformats.org/officeDocument/2006/relationships/revisionLog" Target="revisionLog10.xml"/><Relationship Id="rId104" Type="http://schemas.openxmlformats.org/officeDocument/2006/relationships/revisionLog" Target="revisionLog2.xml"/><Relationship Id="rId97" Type="http://schemas.openxmlformats.org/officeDocument/2006/relationships/revisionLog" Target="revisionLog97.xml"/><Relationship Id="rId133" Type="http://schemas.openxmlformats.org/officeDocument/2006/relationships/revisionLog" Target="revisionLog31.xml"/><Relationship Id="rId120" Type="http://schemas.openxmlformats.org/officeDocument/2006/relationships/revisionLog" Target="revisionLog18.xml"/><Relationship Id="rId125" Type="http://schemas.openxmlformats.org/officeDocument/2006/relationships/revisionLog" Target="revisionLog23.xml"/><Relationship Id="rId138" Type="http://schemas.openxmlformats.org/officeDocument/2006/relationships/revisionLog" Target="revisionLog36.xml"/><Relationship Id="rId141" Type="http://schemas.openxmlformats.org/officeDocument/2006/relationships/revisionLog" Target="revisionLog39.xml"/><Relationship Id="rId146" Type="http://schemas.openxmlformats.org/officeDocument/2006/relationships/revisionLog" Target="revisionLog44.xml"/><Relationship Id="rId154" Type="http://schemas.openxmlformats.org/officeDocument/2006/relationships/revisionLog" Target="revisionLog52.xml"/><Relationship Id="rId159" Type="http://schemas.openxmlformats.org/officeDocument/2006/relationships/revisionLog" Target="revisionLog57.xml"/><Relationship Id="rId162" Type="http://schemas.openxmlformats.org/officeDocument/2006/relationships/revisionLog" Target="revisionLog60.xml"/><Relationship Id="rId107" Type="http://schemas.openxmlformats.org/officeDocument/2006/relationships/revisionLog" Target="revisionLog5.xml"/><Relationship Id="rId102" Type="http://schemas.openxmlformats.org/officeDocument/2006/relationships/revisionLog" Target="revisionLog102.xml"/><Relationship Id="rId115" Type="http://schemas.openxmlformats.org/officeDocument/2006/relationships/revisionLog" Target="revisionLog13.xml"/><Relationship Id="rId110" Type="http://schemas.openxmlformats.org/officeDocument/2006/relationships/revisionLog" Target="revisionLog8.xml"/><Relationship Id="rId131" Type="http://schemas.openxmlformats.org/officeDocument/2006/relationships/revisionLog" Target="revisionLog29.xml"/><Relationship Id="rId123" Type="http://schemas.openxmlformats.org/officeDocument/2006/relationships/revisionLog" Target="revisionLog21.xml"/><Relationship Id="rId128" Type="http://schemas.openxmlformats.org/officeDocument/2006/relationships/revisionLog" Target="revisionLog26.xml"/><Relationship Id="rId136" Type="http://schemas.openxmlformats.org/officeDocument/2006/relationships/revisionLog" Target="revisionLog34.xml"/><Relationship Id="rId144" Type="http://schemas.openxmlformats.org/officeDocument/2006/relationships/revisionLog" Target="revisionLog42.xml"/><Relationship Id="rId149" Type="http://schemas.openxmlformats.org/officeDocument/2006/relationships/revisionLog" Target="revisionLog47.xml"/><Relationship Id="rId157" Type="http://schemas.openxmlformats.org/officeDocument/2006/relationships/revisionLog" Target="revisionLog55.xml"/><Relationship Id="rId95" Type="http://schemas.openxmlformats.org/officeDocument/2006/relationships/revisionLog" Target="revisionLog95.xml"/><Relationship Id="rId114" Type="http://schemas.openxmlformats.org/officeDocument/2006/relationships/revisionLog" Target="revisionLog12.xml"/><Relationship Id="rId106" Type="http://schemas.openxmlformats.org/officeDocument/2006/relationships/revisionLog" Target="revisionLog4.xml"/><Relationship Id="rId160" Type="http://schemas.openxmlformats.org/officeDocument/2006/relationships/revisionLog" Target="revisionLog58.xml"/><Relationship Id="rId119" Type="http://schemas.openxmlformats.org/officeDocument/2006/relationships/revisionLog" Target="revisionLog17.xml"/><Relationship Id="rId127" Type="http://schemas.openxmlformats.org/officeDocument/2006/relationships/revisionLog" Target="revisionLog25.xml"/><Relationship Id="rId152" Type="http://schemas.openxmlformats.org/officeDocument/2006/relationships/revisionLog" Target="revisionLog50.xml"/><Relationship Id="rId101" Type="http://schemas.openxmlformats.org/officeDocument/2006/relationships/revisionLog" Target="revisionLog101.xml"/><Relationship Id="rId99" Type="http://schemas.openxmlformats.org/officeDocument/2006/relationships/revisionLog" Target="revisionLog99.xml"/><Relationship Id="rId94" Type="http://schemas.openxmlformats.org/officeDocument/2006/relationships/revisionLog" Target="revisionLog94.xml"/><Relationship Id="rId122" Type="http://schemas.openxmlformats.org/officeDocument/2006/relationships/revisionLog" Target="revisionLog20.xml"/><Relationship Id="rId130" Type="http://schemas.openxmlformats.org/officeDocument/2006/relationships/revisionLog" Target="revisionLog28.xml"/><Relationship Id="rId135" Type="http://schemas.openxmlformats.org/officeDocument/2006/relationships/revisionLog" Target="revisionLog33.xml"/><Relationship Id="rId143" Type="http://schemas.openxmlformats.org/officeDocument/2006/relationships/revisionLog" Target="revisionLog41.xml"/><Relationship Id="rId148" Type="http://schemas.openxmlformats.org/officeDocument/2006/relationships/revisionLog" Target="revisionLog46.xml"/><Relationship Id="rId151" Type="http://schemas.openxmlformats.org/officeDocument/2006/relationships/revisionLog" Target="revisionLog49.xml"/><Relationship Id="rId156" Type="http://schemas.openxmlformats.org/officeDocument/2006/relationships/revisionLog" Target="revisionLog54.xml"/><Relationship Id="rId100" Type="http://schemas.openxmlformats.org/officeDocument/2006/relationships/revisionLog" Target="revisionLog100.xml"/><Relationship Id="rId113" Type="http://schemas.openxmlformats.org/officeDocument/2006/relationships/revisionLog" Target="revisionLog11.xml"/><Relationship Id="rId118" Type="http://schemas.openxmlformats.org/officeDocument/2006/relationships/revisionLog" Target="revisionLog16.xml"/><Relationship Id="rId105" Type="http://schemas.openxmlformats.org/officeDocument/2006/relationships/revisionLog" Target="revisionLog3.xml"/><Relationship Id="rId126" Type="http://schemas.openxmlformats.org/officeDocument/2006/relationships/revisionLog" Target="revisionLog24.xml"/><Relationship Id="rId134" Type="http://schemas.openxmlformats.org/officeDocument/2006/relationships/revisionLog" Target="revisionLog32.xml"/><Relationship Id="rId139" Type="http://schemas.openxmlformats.org/officeDocument/2006/relationships/revisionLog" Target="revisionLog37.xml"/><Relationship Id="rId147" Type="http://schemas.openxmlformats.org/officeDocument/2006/relationships/revisionLog" Target="revisionLog45.xml"/><Relationship Id="rId98" Type="http://schemas.openxmlformats.org/officeDocument/2006/relationships/revisionLog" Target="revisionLog98.xml"/><Relationship Id="rId93" Type="http://schemas.openxmlformats.org/officeDocument/2006/relationships/revisionLog" Target="revisionLog93.xml"/><Relationship Id="rId121" Type="http://schemas.openxmlformats.org/officeDocument/2006/relationships/revisionLog" Target="revisionLog19.xml"/><Relationship Id="rId142" Type="http://schemas.openxmlformats.org/officeDocument/2006/relationships/revisionLog" Target="revisionLog40.xml"/><Relationship Id="rId150" Type="http://schemas.openxmlformats.org/officeDocument/2006/relationships/revisionLog" Target="revisionLog48.xml"/><Relationship Id="rId155" Type="http://schemas.openxmlformats.org/officeDocument/2006/relationships/revisionLog" Target="revisionLog53.xml"/><Relationship Id="rId116" Type="http://schemas.openxmlformats.org/officeDocument/2006/relationships/revisionLog" Target="revisionLog14.xml"/><Relationship Id="rId103" Type="http://schemas.openxmlformats.org/officeDocument/2006/relationships/revisionLog" Target="revisionLog1.xml"/><Relationship Id="rId108" Type="http://schemas.openxmlformats.org/officeDocument/2006/relationships/revisionLog" Target="revisionLog6.xml"/><Relationship Id="rId124" Type="http://schemas.openxmlformats.org/officeDocument/2006/relationships/revisionLog" Target="revisionLog22.xml"/><Relationship Id="rId129" Type="http://schemas.openxmlformats.org/officeDocument/2006/relationships/revisionLog" Target="revisionLog27.xml"/><Relationship Id="rId137" Type="http://schemas.openxmlformats.org/officeDocument/2006/relationships/revisionLog" Target="revisionLog35.xml"/><Relationship Id="rId158" Type="http://schemas.openxmlformats.org/officeDocument/2006/relationships/revisionLog" Target="revisionLog56.xml"/><Relationship Id="rId111" Type="http://schemas.openxmlformats.org/officeDocument/2006/relationships/revisionLog" Target="revisionLog9.xml"/><Relationship Id="rId96" Type="http://schemas.openxmlformats.org/officeDocument/2006/relationships/revisionLog" Target="revisionLog96.xml"/><Relationship Id="rId161" Type="http://schemas.openxmlformats.org/officeDocument/2006/relationships/revisionLog" Target="revisionLog59.xml"/><Relationship Id="rId132" Type="http://schemas.openxmlformats.org/officeDocument/2006/relationships/revisionLog" Target="revisionLog30.xml"/><Relationship Id="rId140" Type="http://schemas.openxmlformats.org/officeDocument/2006/relationships/revisionLog" Target="revisionLog38.xml"/><Relationship Id="rId145" Type="http://schemas.openxmlformats.org/officeDocument/2006/relationships/revisionLog" Target="revisionLog43.xml"/><Relationship Id="rId153" Type="http://schemas.openxmlformats.org/officeDocument/2006/relationships/revisionLog" Target="revisionLog5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8A65B9FE-73AC-49FA-BD02-D125EF4936D7}" diskRevisions="1" revisionId="2091" version="2">
  <header guid="{BDE51A1C-0789-4637-ABC0-3877CA82C633}" dateTime="2025-04-21T12:13:49" maxSheetId="21" userName="Мягкова Оксана Викторовна" r:id="rId9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E8DE674-4CBF-4AE5-8648-A919F6E8BAA4}" dateTime="2025-04-21T12:55:01" maxSheetId="21" userName="Мягкова Оксана Викторовна" r:id="rId94" minRId="1324" maxRId="133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2E61C8D3-0B0A-41B5-89D3-4A6E9C697436}" dateTime="2025-04-21T12:56:19" maxSheetId="21" userName="Мягкова Оксана Викторовна" r:id="rId9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2CF372FA-3687-46CC-988F-7C254BA03835}" dateTime="2025-04-21T13:02:32" maxSheetId="21" userName="Мягкова Оксана Викторовна" r:id="rId96" minRId="1339">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0F29E016-AE12-4993-A56B-623DCC1C50E0}" dateTime="2025-04-21T13:11:31" maxSheetId="21" userName="Мягкова Оксана Викторовна" r:id="rId97" minRId="1340" maxRId="134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82A98641-0EDE-41BE-873B-E98FF30A9550}" dateTime="2025-04-21T13:38:18" maxSheetId="21" userName="Мягкова Оксана Викторовна" r:id="rId98" minRId="1346" maxRId="1347">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E17AC066-97B0-46D8-96FF-0EC79F68119B}" dateTime="2025-04-23T15:22:46" maxSheetId="21" userName="Подворчан Оксана" r:id="rId99" minRId="1348" maxRId="1350">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65A7671F-4719-4FDC-9149-0DA6E393C0A8}" dateTime="2025-04-24T17:48:28" maxSheetId="21" userName="Митина Екатерина Сергеевна" r:id="rId100" minRId="1358" maxRId="136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E667386D-D252-47C0-B0D0-70539F0C0922}" dateTime="2025-04-24T17:50:17" maxSheetId="21" userName="Митина Екатерина Сергеевна" r:id="rId101" minRId="137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30D4B46D-9B4D-4776-9C93-C5ADA748A269}" dateTime="2025-04-24T17:50:37" maxSheetId="21" userName="Митина Екатерина Сергеевна" r:id="rId102" minRId="137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9DE713C2-916F-4BD7-A961-C32CE23431C8}" dateTime="2025-05-05T14:16:25" maxSheetId="21" userName="Зарбалиева Оксана Валерьевна" r:id="rId103" minRId="1376" maxRId="138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86C35709-F3D4-4D78-A178-0845712707E8}" dateTime="2025-05-05T14:45:10" maxSheetId="21" userName="Чекменева Наталья Валерьевна" r:id="rId104" minRId="1384" maxRId="138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67CA19F7-D069-4418-A80C-3033BB3E6CFF}" dateTime="2025-05-05T16:41:14" maxSheetId="21" userName="Мягкова Оксана Викторовна" r:id="rId105" minRId="1394" maxRId="141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ADE17B0A-846D-404E-A555-AD9E13BF58DA}" dateTime="2025-05-06T09:18:13" maxSheetId="21" userName="Мягкова Оксана Викторовна" r:id="rId106" minRId="1415" maxRId="142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C7C42D1E-01DF-4AEA-AA92-529B652D9334}" dateTime="2025-05-06T09:40:53" maxSheetId="21" userName="Мягкова Оксана Викторовна" r:id="rId107" minRId="142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8176BCD7-29D7-4114-B00F-1262422F10E7}" dateTime="2025-05-06T12:03:21" maxSheetId="21" userName="Васильева Мария Сергеевна" r:id="rId108" minRId="1430" maxRId="143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8ED9589A-8A13-4E71-9323-E140C06F46BE}" dateTime="2025-05-06T12:27:26" maxSheetId="21" userName="Васильева Мария Сергеевна" r:id="rId109" minRId="1442" maxRId="1459">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177C967B-7393-479F-81DB-90A82B7F9D41}" dateTime="2025-05-06T14:43:17" maxSheetId="21" userName="Васильева Мария Сергеевна" r:id="rId110" minRId="1467">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34814C15-2A23-48B1-BA44-BA61FA3F06D7}" dateTime="2025-05-06T14:51:26" maxSheetId="21" userName="Васильева Мария Сергеевна" r:id="rId111" minRId="1475" maxRId="147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BEFB3FDE-77A8-4FDE-B972-F3692B371CD4}" dateTime="2025-05-06T15:13:44" maxSheetId="21" userName="Степаненко Наталья Алексеевна" r:id="rId112" minRId="1477" maxRId="149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22A85CD5-8EDC-49D3-863E-BBAEAB6154D3}" dateTime="2025-05-06T16:00:12" maxSheetId="21" userName="Васильева Мария Сергеевна" r:id="rId113" minRId="1494" maxRId="149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AFF551ED-A144-4BE5-97E3-11B6B8012E31}" dateTime="2025-05-06T16:16:03" maxSheetId="21" userName="Васильева Мария Сергеевна" r:id="rId11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F8BFAE06-A7AE-4CBD-AC48-E6EBB0CBE9D9}" dateTime="2025-05-06T16:25:50" maxSheetId="21" userName="Васильева Мария Сергеевна" r:id="rId11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0D8F71D-8F30-4BDF-81D1-5D7599C119FC}" dateTime="2025-05-07T08:29:10" maxSheetId="21" userName="Шамерзоева Татьяна Федоровна" r:id="rId116" minRId="1496" maxRId="150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B4E1624A-9D49-4304-AC68-CF16A3F40F10}" dateTime="2025-05-07T16:57:43" maxSheetId="21" userName="Осинцева Татьяна Николаевна" r:id="rId117" minRId="1510" maxRId="153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379EC781-4A1D-4B7E-9E57-F11D9DDD2A6B}" dateTime="2025-05-12T15:07:54" maxSheetId="21" userName="Тихонова Лариса Анатольевна" r:id="rId118" minRId="1532" maxRId="153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B416C198-9CA2-4592-9381-E46A3B74737B}" dateTime="2025-05-12T17:16:32" maxSheetId="21" userName="Митина Екатерина Сергеевна" r:id="rId119" minRId="1539" maxRId="155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CB3B337D-3481-4A58-A2AE-7951CD0825D5}" dateTime="2025-05-12T17:17:41" maxSheetId="21" userName="Митина Екатерина Сергеевна" r:id="rId120" minRId="155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3314633A-013C-4E63-B156-3FB5C6555C23}" dateTime="2025-05-12T17:33:37" maxSheetId="21" userName="Митина Екатерина Сергеевна" r:id="rId121" minRId="155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83FE6936-3592-4A60-A01F-36662A9F783D}" dateTime="2025-05-12T17:40:33" maxSheetId="21" userName="Тихонова Лариса Анатольевна" r:id="rId122" minRId="1554" maxRId="156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1464AA95-35E0-4C74-A77B-62D39216081D}" dateTime="2025-05-13T11:27:35" maxSheetId="21" userName="Тихонова Лариса Анатольевна" r:id="rId123" minRId="1562" maxRId="1607">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F2A562CC-4A32-47FD-9D12-01701D6DCC10}" dateTime="2025-05-13T13:31:59" maxSheetId="21" userName="Спиридонова Юлия Леонидовна" r:id="rId124" minRId="1608" maxRId="161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FC083E84-CF2E-4C35-953E-35D5BD09639C}" dateTime="2025-05-13T13:54:59" maxSheetId="21" userName="Тихонова Лариса Анатольевна" r:id="rId125" minRId="1621" maxRId="1627">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65FCF382-497D-48E7-A5F0-003F866388B3}" dateTime="2025-05-13T14:56:12" maxSheetId="21" userName="Осинцева Татьяна Николаевна" r:id="rId126" minRId="1628" maxRId="165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CD14EC3F-A12A-427B-B9E8-BCA365D868F8}" dateTime="2025-05-13T16:34:39" maxSheetId="21" userName="Мягкова Оксана Викторовна" r:id="rId127">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455AF357-30F3-4988-B908-EC70EEB228D8}" dateTime="2025-05-13T17:14:14" maxSheetId="21" userName="Епифанова Елена Валерьевна" r:id="rId128" minRId="1659" maxRId="1739">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A404C0AC-4D1F-4EA9-8F29-7ECA58D7E7FF}" dateTime="2025-05-13T17:54:37" maxSheetId="21" userName="Епифанова Елена Валерьевна" r:id="rId129" minRId="1740" maxRId="178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FED6C718-FF62-4081-B30D-F2C548B8AFB7}" dateTime="2025-05-14T09:20:21" maxSheetId="21" userName="Харченко Ольга Владимировна" r:id="rId130" minRId="1783" maxRId="1800">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4A07A4F8-6F25-47F9-B9BE-998CB11FC621}" dateTime="2025-05-14T09:26:40" maxSheetId="21" userName="Харченко Ольга Владимировна" r:id="rId131" minRId="1808" maxRId="181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DA5EFBD-C3CD-40EE-9A1B-94D84DA3D1DB}" dateTime="2025-05-14T09:29:00" maxSheetId="21" userName="Харченко Ольга Владимировна" r:id="rId132" minRId="1814" maxRId="181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EC53F18A-5ACD-43D5-AFA8-7DA440EE52E9}" dateTime="2025-05-14T09:31:45" maxSheetId="21" userName="Тихонова Лариса Анатольевна" r:id="rId133" minRId="1819" maxRId="182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FE9DB360-E5C8-498D-B098-EBF469AB934B}" dateTime="2025-05-14T09:36:36" maxSheetId="21" userName="Харченко Ольга Владимировна" r:id="rId134" minRId="1832" maxRId="183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12712E24-DBF5-4207-9A8D-E49A90A8E373}" dateTime="2025-05-14T14:53:18" maxSheetId="21" userName="Харченко Ольга Владимировна" r:id="rId135" minRId="1837" maxRId="183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01E6A03C-9EA9-432E-8172-F37520E1A5CF}" dateTime="2025-05-14T14:54:44" maxSheetId="21" userName="Харченко Ольга Владимировна" r:id="rId136" minRId="1846" maxRId="184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FD64CCFE-1E88-4799-9B7E-CE07220702F0}" dateTime="2025-05-14T15:02:22" maxSheetId="21" userName="Харченко Ольга Владимировна" r:id="rId137" minRId="1849" maxRId="185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6E4F527-2653-4012-B01C-937567884EFF}" dateTime="2025-05-14T15:04:09" maxSheetId="21" userName="Харченко Ольга Владимировна" r:id="rId138" minRId="1853" maxRId="185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BE2695E0-BCE3-4FEE-8260-D15B74F2FF27}" dateTime="2025-05-14T15:05:36" maxSheetId="21" userName="Харченко Ольга Владимировна" r:id="rId139" minRId="1857" maxRId="185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05C981CB-D670-4B72-BD57-06DBE45DB072}" dateTime="2025-05-14T15:06:55" maxSheetId="21" userName="Харченко Ольга Владимировна" r:id="rId140" minRId="1859" maxRId="186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619BEF3F-07B2-4F78-BE31-2ABFE6FD70C6}" dateTime="2025-05-14T15:08:14" maxSheetId="21" userName="Харченко Ольга Владимировна" r:id="rId14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6CCC9DE-BB85-4ED5-AAF6-42CD63F63329}" dateTime="2025-05-15T08:51:59" maxSheetId="21" userName="Харченко Ольга Владимировна" r:id="rId142" minRId="1863" maxRId="186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2BF72B51-DC74-49D5-8B1F-214F43561649}" dateTime="2025-05-15T08:54:53" maxSheetId="21" userName="Харченко Ольга Владимировна" r:id="rId143" minRId="1874" maxRId="187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D99777ED-5E24-4773-9E54-D18D09A85F9B}" dateTime="2025-05-15T09:02:35" maxSheetId="21" userName="Харченко Ольга Владимировна" r:id="rId144" minRId="1876" maxRId="187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35A39E9D-FF2D-4A45-A1CA-433E9BA67126}" dateTime="2025-05-15T09:18:47" maxSheetId="21" userName="Харченко Ольга Владимировна" r:id="rId145" minRId="1879" maxRId="189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64EB5517-2AD5-486F-B56B-61CA28D28C4E}" dateTime="2025-05-15T09:21:41" maxSheetId="21" userName="Харченко Ольга Владимировна" r:id="rId146" minRId="1903" maxRId="190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DBB69BA8-820B-4132-B718-0AAE577DF426}" dateTime="2025-05-15T10:58:47" maxSheetId="21" userName="Харченко Ольга Владимировна" r:id="rId147" minRId="1907" maxRId="1910">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43636177-FD8A-4F5C-8429-111A2004C5F4}" dateTime="2025-05-15T11:01:26" maxSheetId="21" userName="Харченко Ольга Владимировна" r:id="rId148" minRId="1911" maxRId="191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AB4677D5-AC75-4FD9-8E42-42295561D07A}" dateTime="2025-05-15T11:19:11" maxSheetId="21" userName="Харченко Ольга Владимировна" r:id="rId149" minRId="1913" maxRId="191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F559BA7B-3627-4362-A191-C1A0A987A993}" dateTime="2025-05-16T09:57:49" maxSheetId="21" userName="Харченко Ольга Владимировна" r:id="rId150" minRId="1915" maxRId="191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52B88049-3F91-4FFC-8D51-2AF275077625}" dateTime="2025-05-19T10:04:40" maxSheetId="21" userName="Тихонова Лариса Анатольевна" r:id="rId151" minRId="1917" maxRId="192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CBA69202-3328-4E42-B618-90205492A334}" dateTime="2025-05-19T10:38:38" maxSheetId="21" userName="Тихонова Лариса Анатольевна" r:id="rId152" minRId="1929" maxRId="193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0F046057-58DC-4BDE-A8C6-B301994ABBA5}" dateTime="2025-05-19T10:56:55" maxSheetId="21" userName="Цыганкова Ирина Анатольевна" r:id="rId153" minRId="1943" maxRId="1969">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ECCA145F-7523-4243-A925-BF32A436D4E3}" dateTime="2025-05-19T10:58:12" maxSheetId="21" userName="Цыганкова Ирина Анатольевна" r:id="rId154" minRId="1977" maxRId="1979">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5B25EBF8-3384-42ED-A6D2-59DA738AEA1B}" dateTime="2025-05-19T11:00:20" maxSheetId="21" userName="Цыганкова Ирина Анатольевна" r:id="rId155" minRId="1980" maxRId="198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F2B3621-8A77-47D8-9297-9DF78CE240C9}" dateTime="2025-05-19T11:02:40" maxSheetId="21" userName="Цыганкова Ирина Анатольевна" r:id="rId15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B6AF49FE-EF96-44C4-842B-DCDA2ABD670D}" dateTime="2025-05-19T11:09:15" maxSheetId="21" userName="Цыганкова Ирина Анатольевна" r:id="rId157" minRId="1989" maxRId="199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96A85383-03FD-4904-BDC9-33BF430DC36B}" dateTime="2025-05-19T11:10:38" maxSheetId="21" userName="Цыганкова Ирина Анатольевна" r:id="rId158" minRId="199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A1BF12C4-579F-49D7-8F75-C9E1B39D926C}" dateTime="2025-05-19T11:17:07" maxSheetId="21" userName="Тихонова Лариса Анатольевна" r:id="rId159" minRId="1996" maxRId="200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B58C5C23-3D52-4718-98DF-B93B3A345430}" dateTime="2025-05-19T15:05:07" maxSheetId="21" userName="Тихонова Лариса Анатольевна" r:id="rId160" minRId="2014" maxRId="2029">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E2BD8051-4595-40AC-9C64-8F3DA18168EB}" dateTime="2025-05-19T15:06:56" maxSheetId="21" userName="Тихонова Лариса Анатольевна" r:id="rId161" minRId="2037" maxRId="206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8A65B9FE-73AC-49FA-BD02-D125EF4936D7}" dateTime="2025-05-19T15:08:53" maxSheetId="21" userName="Тихонова Лариса Анатольевна" r:id="rId162" minRId="2064" maxRId="209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76" sId="15" numFmtId="4">
    <oc r="P14">
      <v>5047.8</v>
    </oc>
    <nc r="P14">
      <v>5336.32</v>
    </nc>
  </rcc>
  <rcc rId="1377" sId="15" numFmtId="4">
    <oc r="Q14">
      <v>0</v>
    </oc>
    <nc r="Q14">
      <v>4872.3999999999996</v>
    </nc>
  </rcc>
  <rcc rId="1378" sId="15" numFmtId="4">
    <oc r="AF14">
      <v>6601.15</v>
    </oc>
    <nc r="AF14">
      <v>6312.63</v>
    </nc>
  </rcc>
  <rcc rId="1379" sId="15">
    <oc r="E14">
      <f>J14+L14+N14</f>
    </oc>
    <nc r="E14">
      <f>J14+L14+N14+P14</f>
    </nc>
  </rcc>
  <rcc rId="1380" sId="15">
    <oc r="E12">
      <f>J12</f>
    </oc>
    <nc r="E12">
      <f>J12+L12+N12+P12</f>
    </nc>
  </rcc>
  <rcc rId="1381" sId="15" numFmtId="19">
    <oc r="E6">
      <v>45748</v>
    </oc>
    <nc r="E6">
      <v>45778</v>
    </nc>
  </rcc>
  <rcc rId="1382" sId="15" numFmtId="19">
    <oc r="F6">
      <v>45748</v>
    </oc>
    <nc r="F6">
      <v>45778</v>
    </nc>
  </rcc>
  <rcc rId="1383" sId="15" numFmtId="19">
    <oc r="G6">
      <v>45689</v>
    </oc>
    <nc r="G6">
      <v>45778</v>
    </nc>
  </rcc>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77" sId="9">
    <oc r="H15">
      <f>IFERROR(G15/D15*100,0)</f>
    </oc>
    <nc r="H15">
      <f>IFERROR(G15/D15*100,0)</f>
    </nc>
  </rcc>
  <rcc rId="1478" sId="9">
    <oc r="I16">
      <f>IFERROR(G16/E16*100,0)</f>
    </oc>
    <nc r="I16">
      <f>IFERROR(G16/E16*100,0)</f>
    </nc>
  </rcc>
  <rcc rId="1479" sId="9">
    <oc r="E15">
      <f>J15</f>
    </oc>
    <nc r="E15">
      <f>J15++L15+N15+P15</f>
    </nc>
  </rcc>
  <rcc rId="1480" sId="9" numFmtId="4">
    <oc r="E16">
      <v>2235.88</v>
    </oc>
    <nc r="E16">
      <f>J16++L16+N16+P16</f>
    </nc>
  </rcc>
  <rcc rId="1481" sId="9">
    <oc r="H13">
      <f>IFERROR(G13/D13*100,0)</f>
    </oc>
    <nc r="H13">
      <f>IFERROR(G13/D13*100,0)</f>
    </nc>
  </rcc>
  <rcc rId="1482" sId="9">
    <oc r="I13">
      <f>IFERROR(G13/E13*100,0)</f>
    </oc>
    <nc r="I13">
      <f>IFERROR(G13/E13*100,0)</f>
    </nc>
  </rcc>
  <rcc rId="1483" sId="9">
    <nc r="AI15">
      <f>E16-G16</f>
    </nc>
  </rcc>
  <rcc rId="1484" sId="9" odxf="1" dxf="1">
    <nc r="AI16">
      <f>E17-G17</f>
    </nc>
    <odxf>
      <font>
        <b val="0"/>
        <sz val="16"/>
        <color auto="1"/>
      </font>
    </odxf>
    <ndxf>
      <font>
        <b/>
        <sz val="16"/>
        <color auto="1"/>
      </font>
    </ndxf>
  </rcc>
  <rcc rId="1485" sId="9" odxf="1" dxf="1">
    <nc r="AI17">
      <f>E18-G18</f>
    </nc>
    <odxf>
      <font>
        <b val="0"/>
        <sz val="16"/>
        <color auto="1"/>
      </font>
    </odxf>
    <ndxf>
      <font>
        <b/>
        <sz val="16"/>
        <color auto="1"/>
      </font>
    </ndxf>
  </rcc>
  <rcc rId="1486" sId="9" odxf="1" dxf="1">
    <nc r="AI18">
      <f>E19-G19</f>
    </nc>
    <odxf>
      <font>
        <b val="0"/>
        <sz val="16"/>
        <color auto="1"/>
      </font>
    </odxf>
    <ndxf>
      <font>
        <b/>
        <sz val="16"/>
        <color auto="1"/>
      </font>
    </ndxf>
  </rcc>
  <rfmt sheetId="9" sqref="AI19" start="0" length="0">
    <dxf>
      <font>
        <b/>
        <sz val="16"/>
        <color auto="1"/>
      </font>
    </dxf>
  </rfmt>
  <rcc rId="1487" sId="9" odxf="1" dxf="1">
    <nc r="AI20">
      <f>E21-G21</f>
    </nc>
    <odxf>
      <font>
        <b val="0"/>
        <sz val="16"/>
        <color auto="1"/>
      </font>
    </odxf>
    <ndxf>
      <font>
        <b/>
        <sz val="16"/>
        <color auto="1"/>
      </font>
    </ndxf>
  </rcc>
  <rcc rId="1488" sId="9" odxf="1" dxf="1">
    <nc r="AI21">
      <f>E22-G22</f>
    </nc>
    <odxf>
      <font>
        <b val="0"/>
        <sz val="16"/>
        <color auto="1"/>
      </font>
    </odxf>
    <ndxf>
      <font>
        <b/>
        <sz val="16"/>
        <color auto="1"/>
      </font>
    </ndxf>
  </rcc>
  <rcc rId="1489" sId="9" odxf="1" dxf="1">
    <nc r="AI22">
      <f>E23-G23</f>
    </nc>
    <odxf>
      <font>
        <b val="0"/>
        <sz val="16"/>
        <color auto="1"/>
      </font>
    </odxf>
    <ndxf>
      <font>
        <b/>
        <sz val="16"/>
        <color auto="1"/>
      </font>
    </ndxf>
  </rcc>
  <rcc rId="1490" sId="9" odxf="1" dxf="1">
    <nc r="AI23">
      <f>E24-G24</f>
    </nc>
    <odxf>
      <font>
        <b val="0"/>
        <sz val="16"/>
        <color auto="1"/>
      </font>
    </odxf>
    <ndxf>
      <font>
        <b/>
        <sz val="16"/>
        <color auto="1"/>
      </font>
    </ndxf>
  </rcc>
  <rcc rId="1491" sId="9">
    <nc r="AI19">
      <f>E20-G20</f>
    </nc>
  </rcc>
  <rcc rId="1492" sId="9" numFmtId="4">
    <oc r="G16">
      <v>2235.88</v>
    </oc>
    <nc r="G16">
      <f>SUM(K16,M16,O16,Q16,S16,U16,W16,Y16,AA16,AC16,AE16,AG16)</f>
    </nc>
  </rcc>
  <rcc rId="1493" sId="9">
    <oc r="G11">
      <f>K11+M11+O11+Q11+S11+U11+W11+Y11+AA11+AC11+AE11+AG11</f>
    </oc>
    <nc r="G11">
      <f>K11+M11+O11+Q11+S11+U11+W11+Y11+AA11+AC11+AE11+AG11</f>
    </nc>
  </rcc>
</revisions>
</file>

<file path=xl/revisions/revisionLog1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58" sId="13">
    <oc r="E19">
      <f>J19+L19</f>
    </oc>
    <nc r="E19">
      <f>J19+L19+N19</f>
    </nc>
  </rcc>
  <rcc rId="1359" sId="13">
    <oc r="E17">
      <f>J17+L17</f>
    </oc>
    <nc r="E17">
      <f>J17+L17+N17</f>
    </nc>
  </rcc>
  <rcc rId="1360" sId="13">
    <oc r="E15">
      <f>J15+L15</f>
    </oc>
    <nc r="E15">
      <f>J15+L15+N15</f>
    </nc>
  </rcc>
  <rcc rId="1361" sId="13">
    <oc r="E12">
      <f>J12+L12</f>
    </oc>
    <nc r="E12">
      <f>J12+L12+N12</f>
    </nc>
  </rcc>
  <rcc rId="1362" sId="13" numFmtId="4">
    <oc r="O17">
      <v>0</v>
    </oc>
    <nc r="O17">
      <v>1895.7860000000001</v>
    </nc>
  </rcc>
  <rcc rId="1363" sId="13" numFmtId="4">
    <oc r="O19">
      <v>0</v>
    </oc>
    <nc r="O19">
      <v>528.66399999999999</v>
    </nc>
  </rcc>
  <rcc rId="1364" sId="13" numFmtId="19">
    <oc r="E6">
      <v>45717</v>
    </oc>
    <nc r="E6">
      <v>45748</v>
    </nc>
  </rcc>
  <rcc rId="1365" sId="13" numFmtId="19">
    <oc r="F6">
      <v>45717</v>
    </oc>
    <nc r="F6">
      <v>45748</v>
    </nc>
  </rcc>
  <rcc rId="1366" sId="13" numFmtId="19">
    <oc r="G6">
      <v>45717</v>
    </oc>
    <nc r="G6">
      <v>45748</v>
    </nc>
  </rcc>
  <rcv guid="{21E1D423-7B38-4272-8354-09B4DB62C9EB}" action="delete"/>
  <rdn rId="0" localSheetId="1" customView="1" name="Z_21E1D423_7B38_4272_8354_09B4DB62C9EB_.wvu.Rows" hidden="1" oldHidden="1">
    <formula>'1. РО'!$28:$28,'1. РО'!$32:$32,'1. РО'!$52:$52,'1. РО'!$59:$59,'1. РО'!$71:$71,'1. РО'!$75:$75</formula>
    <oldFormula>'1. РО'!$28:$28,'1. РО'!$32:$32,'1. РО'!$52:$52,'1. РО'!$59:$59,'1. РО'!$71:$71,'1. РО'!$75:$75</oldFormula>
  </rdn>
  <rdn rId="0" localSheetId="4" customView="1" name="Z_21E1D423_7B38_4272_8354_09B4DB62C9EB_.wvu.Rows" hidden="1" oldHidden="1">
    <formula>'4. КП'!$23:$23,'4. КП'!$27:$27,'4. КП'!$68:$68,'4. КП'!$75:$75,'4. КП'!$83:$83,'4. КП'!$87:$88,'4. КП'!$91:$91,'4. КП'!$93:$93</formula>
    <oldFormula>'4. КП'!$23:$23,'4. КП'!$27:$27,'4. КП'!$68:$68,'4. КП'!$75:$75,'4. КП'!$83:$83,'4. КП'!$87:$88,'4. КП'!$91:$91,'4. КП'!$93:$93</oldFormula>
  </rdn>
  <rdn rId="0" localSheetId="5" customView="1" name="Z_21E1D423_7B38_4272_8354_09B4DB62C9EB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21E1D423_7B38_4272_8354_09B4DB62C9EB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21E1D423_7B38_4272_8354_09B4DB62C9EB_.wvu.Rows" hidden="1" oldHidden="1">
    <formula>'9. РЖКК'!$14:$14,'9. РЖКК'!$28:$28</formula>
    <oldFormula>'9. РЖКК'!$14:$14,'9. РЖКК'!$28:$28</oldFormula>
  </rdn>
  <rdn rId="0" localSheetId="14" customView="1" name="Z_21E1D423_7B38_4272_8354_09B4DB62C9EB_.wvu.Rows" hidden="1" oldHidden="1">
    <formula>'14. РТС'!$14:$15,'14. РТС'!$19:$19,'14. РТС'!$30:$30,'14. РТС'!$33:$33,'14. РТС'!$36:$36,'14. РТС'!$43:$43</formula>
    <oldFormula>'14. РТС'!$14:$15,'14. РТС'!$19:$19,'14. РТС'!$30:$30,'14. РТС'!$33:$33,'14. РТС'!$36:$36,'14. РТС'!$43:$43</oldFormula>
  </rdn>
  <rdn rId="0" localSheetId="20" customView="1" name="Z_21E1D423_7B38_4272_8354_09B4DB62C9EB_.wvu.Rows" hidden="1" oldHidden="1">
    <formula>'20. МСП'!$19:$19</formula>
    <oldFormula>'20. МСП'!$19:$19</oldFormula>
  </rdn>
  <rcv guid="{21E1D423-7B38-4272-8354-09B4DB62C9EB}" action="add"/>
</revisions>
</file>

<file path=xl/revisions/revisionLog1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74" sId="13">
    <nc r="AH12" t="inlineStr">
      <is>
        <t xml:space="preserve">Оплата произведена в начале апреля 2025 года (учитывая фактичечские сроки поступления статистической информации). </t>
      </is>
    </nc>
  </rcc>
</revisions>
</file>

<file path=xl/revisions/revisionLog1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75" sId="13">
    <oc r="AH14" t="inlineStr">
      <is>
        <t>Экономия на оплату труда и начисления на нее сложилась  в связи с наличем вакансий и больничных листов.</t>
      </is>
    </oc>
    <nc r="AH14" t="inlineStr">
      <is>
        <t>Экономия на оплату труда и начисления на нее сложилась  в связи с наличем больничных листов.</t>
      </is>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9" sqref="AH17">
    <dxf>
      <fill>
        <patternFill patternType="solid">
          <bgColor rgb="FFFFFF00"/>
        </patternFill>
      </fill>
    </dxf>
  </rfmt>
  <rfmt sheetId="9" sqref="D22">
    <dxf>
      <fill>
        <patternFill patternType="solid">
          <bgColor rgb="FFFFFF00"/>
        </patternFill>
      </fill>
    </dxf>
  </rfmt>
  <rfmt sheetId="9" sqref="L22">
    <dxf>
      <fill>
        <patternFill patternType="solid">
          <bgColor rgb="FFFFFF00"/>
        </patternFill>
      </fill>
    </dxf>
  </rfmt>
  <rcc rId="1494" sId="9" numFmtId="4">
    <oc r="D21">
      <f>D22</f>
    </oc>
    <nc r="D21">
      <v>119452.97</v>
    </nc>
  </rcc>
  <rcc rId="1495" sId="9" numFmtId="4">
    <oc r="AF22">
      <f>7827.968+100000</f>
    </oc>
    <nc r="AF22">
      <v>119247.97</v>
    </nc>
  </rcc>
  <rfmt sheetId="9" sqref="D22">
    <dxf>
      <fill>
        <patternFill patternType="none">
          <bgColor auto="1"/>
        </patternFill>
      </fill>
    </dxf>
  </rfmt>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9" sqref="L22">
    <dxf>
      <fill>
        <patternFill patternType="none">
          <bgColor auto="1"/>
        </patternFill>
      </fill>
    </dxf>
  </rfmt>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9" sqref="AH17">
    <dxf>
      <fill>
        <patternFill patternType="none">
          <bgColor auto="1"/>
        </patternFill>
      </fill>
    </dxf>
  </rfmt>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96" sId="7" numFmtId="19">
    <oc r="E6">
      <v>45748</v>
    </oc>
    <nc r="E6">
      <v>45778</v>
    </nc>
  </rcc>
  <rcc rId="1497" sId="7" numFmtId="19">
    <oc r="F6">
      <v>45748</v>
    </oc>
    <nc r="F6">
      <v>45778</v>
    </nc>
  </rcc>
  <rcc rId="1498" sId="7" numFmtId="19">
    <oc r="G6">
      <v>45748</v>
    </oc>
    <nc r="G6">
      <v>45778</v>
    </nc>
  </rcc>
  <rcc rId="1499" sId="7">
    <oc r="E13">
      <f>J13+L13+N13</f>
    </oc>
    <nc r="E13">
      <f>J13+L13+N13+P13</f>
    </nc>
  </rcc>
  <rcc rId="1500" sId="7">
    <oc r="E15">
      <f>J15+L15+N15</f>
    </oc>
    <nc r="E15">
      <f>J15+L15+N15+P15</f>
    </nc>
  </rcc>
  <rcc rId="1501" sId="7">
    <oc r="E8">
      <f>E9+E10</f>
    </oc>
    <nc r="E8">
      <f>E9+E10</f>
    </nc>
  </rcc>
  <rcc rId="1502" sId="7">
    <oc r="F9">
      <f>F13</f>
    </oc>
    <nc r="F9">
      <f>F13</f>
    </nc>
  </rcc>
  <rcv guid="{7C5A2A36-3D69-43D9-9018-A52C27EC78F9}" action="delete"/>
  <rdn rId="0" localSheetId="1" customView="1" name="Z_7C5A2A36_3D69_43D9_9018_A52C27EC78F9_.wvu.Rows" hidden="1" oldHidden="1">
    <formula>'1. РО'!$28:$28,'1. РО'!$32:$32,'1. РО'!$52:$52,'1. РО'!$59:$59,'1. РО'!$71:$71,'1. РО'!$75:$75</formula>
    <oldFormula>'1. РО'!$28:$28,'1. РО'!$32:$32,'1. РО'!$52:$52,'1. РО'!$59:$59,'1. РО'!$71:$71,'1. РО'!$75:$75</oldFormula>
  </rdn>
  <rdn rId="0" localSheetId="4" customView="1" name="Z_7C5A2A36_3D69_43D9_9018_A52C27EC78F9_.wvu.Rows" hidden="1" oldHidden="1">
    <formula>'4. КП'!$23:$23,'4. КП'!$27:$27,'4. КП'!$68:$68,'4. КП'!$75:$75,'4. КП'!$83:$83,'4. КП'!$87:$88,'4. КП'!$91:$91,'4. КП'!$93:$93</formula>
    <oldFormula>'4. КП'!$23:$23,'4. КП'!$27:$27,'4. КП'!$68:$68,'4. КП'!$75:$75,'4. КП'!$83:$83,'4. КП'!$87:$88,'4. КП'!$91:$91,'4. КП'!$93:$93</oldFormula>
  </rdn>
  <rdn rId="0" localSheetId="5" customView="1" name="Z_7C5A2A36_3D69_43D9_9018_A52C27EC78F9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7C5A2A36_3D69_43D9_9018_A52C27EC78F9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7C5A2A36_3D69_43D9_9018_A52C27EC78F9_.wvu.Rows" hidden="1" oldHidden="1">
    <formula>'9. РЖКК'!$14:$14,'9. РЖКК'!$28:$28</formula>
    <oldFormula>'9. РЖКК'!$14:$14,'9. РЖКК'!$28:$28</oldFormula>
  </rdn>
  <rdn rId="0" localSheetId="14" customView="1" name="Z_7C5A2A36_3D69_43D9_9018_A52C27EC78F9_.wvu.Rows" hidden="1" oldHidden="1">
    <formula>'14. РТС'!$14:$15,'14. РТС'!$19:$19,'14. РТС'!$30:$30,'14. РТС'!$33:$33,'14. РТС'!$36:$36,'14. РТС'!$43:$43</formula>
    <oldFormula>'14. РТС'!$14:$15,'14. РТС'!$19:$19,'14. РТС'!$30:$30,'14. РТС'!$33:$33,'14. РТС'!$36:$36,'14. РТС'!$43:$43</oldFormula>
  </rdn>
  <rdn rId="0" localSheetId="20" customView="1" name="Z_7C5A2A36_3D69_43D9_9018_A52C27EC78F9_.wvu.Rows" hidden="1" oldHidden="1">
    <formula>'20. МСП'!$19:$19</formula>
    <oldFormula>'20. МСП'!$19:$19</oldFormula>
  </rdn>
  <rcv guid="{7C5A2A36-3D69-43D9-9018-A52C27EC78F9}"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1" sqref="J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cc rId="1510" sId="2" odxf="1" s="1" dxf="1" numFmtId="34">
    <oc r="K18">
      <v>0</v>
    </oc>
    <nc r="K18"/>
    <odxf>
      <font>
        <b val="0"/>
        <i val="0"/>
        <strike val="0"/>
        <condense val="0"/>
        <extend val="0"/>
        <outline val="0"/>
        <shadow val="0"/>
        <u val="none"/>
        <vertAlign val="baseline"/>
        <sz val="12"/>
        <color auto="1"/>
        <name val="Times New Roman"/>
        <scheme val="none"/>
      </font>
      <numFmt numFmtId="166" formatCode="#,##0.00_ ;[Red]\-#,##0.00\ "/>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odxf>
    <ndxf>
      <font>
        <sz val="14"/>
        <color auto="1"/>
        <name val="Times New Roman"/>
        <scheme val="none"/>
      </font>
      <numFmt numFmtId="167" formatCode="_(* #,##0.00_);_(* \(#,##0.00\);_(* &quot;-&quot;??_);_(@_)"/>
      <fill>
        <patternFill patternType="none">
          <bgColor indexed="65"/>
        </patternFill>
      </fill>
      <alignment horizontal="justify" wrapText="1" readingOrder="0"/>
      <protection locked="1"/>
    </ndxf>
  </rcc>
  <rfmt sheetId="2" s="1" sqref="L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M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N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O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P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Q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R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S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T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U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V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W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X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Y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Z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AA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AB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AC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AD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AE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AF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AG18" start="0" length="0">
    <dxf>
      <font>
        <b/>
        <sz val="12"/>
        <color auto="1"/>
        <name val="Times New Roman"/>
        <scheme val="none"/>
      </font>
      <numFmt numFmtId="0" formatCode="General"/>
      <fill>
        <patternFill patternType="none">
          <bgColor indexed="65"/>
        </patternFill>
      </fill>
      <alignment horizontal="general" wrapText="1" readingOrder="0"/>
      <protection locked="1"/>
    </dxf>
  </rfmt>
  <rcc rId="1511" sId="2">
    <oc r="E18">
      <f>J18+L18+N18</f>
    </oc>
    <nc r="E18">
      <f>J18+L18+N18+P18</f>
    </nc>
  </rcc>
  <rfmt sheetId="2" sqref="A18:XFD18" start="0" length="2147483647">
    <dxf>
      <font>
        <sz val="12"/>
      </font>
    </dxf>
  </rfmt>
  <rfmt sheetId="2" sqref="J18:V18">
    <dxf>
      <alignment horizontal="center" readingOrder="0"/>
    </dxf>
  </rfmt>
  <rfmt sheetId="2" sqref="J18:V18">
    <dxf>
      <alignment horizontal="general" readingOrder="0"/>
    </dxf>
  </rfmt>
  <rfmt sheetId="2" sqref="J18:V18">
    <dxf>
      <alignment horizontal="left" readingOrder="0"/>
    </dxf>
  </rfmt>
  <rfmt sheetId="2" sqref="J18:V18">
    <dxf>
      <alignment horizontal="general" readingOrder="0"/>
    </dxf>
  </rfmt>
  <rfmt sheetId="2" sqref="L18">
    <dxf>
      <alignment horizontal="center" readingOrder="0"/>
    </dxf>
  </rfmt>
  <rfmt sheetId="2" s="1" sqref="L18" start="0" length="0">
    <dxf>
      <numFmt numFmtId="166" formatCode="#,##0.00_ ;[Red]\-#,##0.00\ "/>
      <fill>
        <patternFill patternType="solid">
          <bgColor theme="0"/>
        </patternFill>
      </fill>
      <alignment wrapText="0" readingOrder="0"/>
      <protection locked="0"/>
    </dxf>
  </rfmt>
  <rfmt sheetId="2" s="1" sqref="M18" start="0" length="0">
    <dxf>
      <numFmt numFmtId="166" formatCode="#,##0.00_ ;[Red]\-#,##0.00\ "/>
      <fill>
        <patternFill patternType="solid">
          <bgColor theme="0"/>
        </patternFill>
      </fill>
      <alignment horizontal="center" wrapText="0" readingOrder="0"/>
      <protection locked="0"/>
    </dxf>
  </rfmt>
  <rcc rId="1512" sId="2" odxf="1" s="1" dxf="1">
    <oc r="N18">
      <v>0</v>
    </oc>
    <nc r="N18"/>
    <ndxf>
      <numFmt numFmtId="166" formatCode="#,##0.00_ ;[Red]\-#,##0.00\ "/>
      <fill>
        <patternFill patternType="solid">
          <bgColor theme="0"/>
        </patternFill>
      </fill>
      <alignment horizontal="center" wrapText="0" readingOrder="0"/>
      <protection locked="0"/>
    </ndxf>
  </rcc>
  <rcc rId="1513" sId="2" odxf="1" s="1" dxf="1">
    <oc r="O18">
      <v>0</v>
    </oc>
    <nc r="O18"/>
    <ndxf>
      <numFmt numFmtId="166" formatCode="#,##0.00_ ;[Red]\-#,##0.00\ "/>
      <fill>
        <patternFill patternType="solid">
          <bgColor theme="0"/>
        </patternFill>
      </fill>
      <alignment horizontal="center" wrapText="0" readingOrder="0"/>
      <protection locked="0"/>
    </ndxf>
  </rcc>
  <rcc rId="1514" sId="2" odxf="1" s="1" dxf="1">
    <oc r="P18">
      <v>0</v>
    </oc>
    <nc r="P18">
      <f>1360150/1000</f>
    </nc>
    <ndxf>
      <numFmt numFmtId="166" formatCode="#,##0.00_ ;[Red]\-#,##0.00\ "/>
      <fill>
        <patternFill patternType="solid">
          <bgColor theme="0"/>
        </patternFill>
      </fill>
      <alignment horizontal="center" wrapText="0" readingOrder="0"/>
      <protection locked="0"/>
    </ndxf>
  </rcc>
  <rcc rId="1515" sId="2" odxf="1" s="1" dxf="1">
    <oc r="Q18">
      <v>0</v>
    </oc>
    <nc r="Q18"/>
    <ndxf>
      <numFmt numFmtId="166" formatCode="#,##0.00_ ;[Red]\-#,##0.00\ "/>
      <fill>
        <patternFill patternType="solid">
          <bgColor theme="0"/>
        </patternFill>
      </fill>
      <alignment horizontal="center" wrapText="0" readingOrder="0"/>
      <protection locked="0"/>
    </ndxf>
  </rcc>
  <rcc rId="1516" sId="2" odxf="1" s="1" dxf="1">
    <oc r="R18">
      <v>0</v>
    </oc>
    <nc r="R18">
      <f>1402969.5/1000</f>
    </nc>
    <ndxf>
      <numFmt numFmtId="166" formatCode="#,##0.00_ ;[Red]\-#,##0.00\ "/>
      <fill>
        <patternFill patternType="solid">
          <bgColor theme="0"/>
        </patternFill>
      </fill>
      <alignment horizontal="center" wrapText="0" readingOrder="0"/>
      <protection locked="0"/>
    </ndxf>
  </rcc>
  <rcc rId="1517" sId="2" odxf="1" s="1" dxf="1">
    <oc r="S18">
      <v>0</v>
    </oc>
    <nc r="S18"/>
    <ndxf>
      <numFmt numFmtId="166" formatCode="#,##0.00_ ;[Red]\-#,##0.00\ "/>
      <fill>
        <patternFill patternType="solid">
          <bgColor theme="0"/>
        </patternFill>
      </fill>
      <alignment horizontal="center" wrapText="0" readingOrder="0"/>
      <protection locked="0"/>
    </ndxf>
  </rcc>
  <rcc rId="1518" sId="2" odxf="1" s="1" dxf="1">
    <oc r="T18">
      <v>0</v>
    </oc>
    <nc r="T18">
      <f>1059319.5/1000</f>
    </nc>
    <ndxf>
      <numFmt numFmtId="166" formatCode="#,##0.00_ ;[Red]\-#,##0.00\ "/>
      <fill>
        <patternFill patternType="solid">
          <bgColor theme="0"/>
        </patternFill>
      </fill>
      <alignment horizontal="center" wrapText="0" readingOrder="0"/>
      <protection locked="0"/>
    </ndxf>
  </rcc>
  <rcc rId="1519" sId="2" odxf="1" s="1" dxf="1">
    <oc r="U18">
      <v>0</v>
    </oc>
    <nc r="U18"/>
    <ndxf>
      <numFmt numFmtId="166" formatCode="#,##0.00_ ;[Red]\-#,##0.00\ "/>
      <fill>
        <patternFill patternType="solid">
          <bgColor theme="0"/>
        </patternFill>
      </fill>
      <alignment horizontal="center" wrapText="0" readingOrder="0"/>
      <protection locked="0"/>
    </ndxf>
  </rcc>
  <rcc rId="1520" sId="2" odxf="1" s="1" dxf="1">
    <oc r="V18">
      <v>0</v>
    </oc>
    <nc r="V18">
      <f>2969.5/1000</f>
    </nc>
    <ndxf>
      <numFmt numFmtId="166" formatCode="#,##0.00_ ;[Red]\-#,##0.00\ "/>
      <fill>
        <patternFill patternType="solid">
          <bgColor theme="0"/>
        </patternFill>
      </fill>
      <alignment horizontal="center" wrapText="0" readingOrder="0"/>
      <protection locked="0"/>
    </ndxf>
  </rcc>
  <rcc rId="1521" sId="2" odxf="1" s="1" dxf="1">
    <oc r="W18">
      <v>0</v>
    </oc>
    <nc r="W18"/>
    <ndxf>
      <numFmt numFmtId="166" formatCode="#,##0.00_ ;[Red]\-#,##0.00\ "/>
      <fill>
        <patternFill patternType="solid">
          <bgColor theme="0"/>
        </patternFill>
      </fill>
      <alignment horizontal="center" wrapText="0" readingOrder="0"/>
      <protection locked="0"/>
    </ndxf>
  </rcc>
  <rcc rId="1522" sId="2" odxf="1" s="1" dxf="1">
    <oc r="X18">
      <v>0</v>
    </oc>
    <nc r="X18">
      <f>2969.5/1000</f>
    </nc>
    <ndxf>
      <numFmt numFmtId="166" formatCode="#,##0.00_ ;[Red]\-#,##0.00\ "/>
      <fill>
        <patternFill patternType="solid">
          <bgColor theme="0"/>
        </patternFill>
      </fill>
      <alignment horizontal="center" wrapText="0" readingOrder="0"/>
      <protection locked="0"/>
    </ndxf>
  </rcc>
  <rcc rId="1523" sId="2" odxf="1" s="1" dxf="1">
    <oc r="Y18">
      <v>0</v>
    </oc>
    <nc r="Y18"/>
    <ndxf>
      <numFmt numFmtId="166" formatCode="#,##0.00_ ;[Red]\-#,##0.00\ "/>
      <fill>
        <patternFill patternType="solid">
          <bgColor theme="0"/>
        </patternFill>
      </fill>
      <alignment horizontal="center" wrapText="0" readingOrder="0"/>
      <protection locked="0"/>
    </ndxf>
  </rcc>
  <rcc rId="1524" sId="2" odxf="1" s="1" dxf="1">
    <oc r="Z18">
      <v>0</v>
    </oc>
    <nc r="Z18">
      <f>2969.5/1000</f>
    </nc>
    <ndxf>
      <numFmt numFmtId="166" formatCode="#,##0.00_ ;[Red]\-#,##0.00\ "/>
      <fill>
        <patternFill patternType="solid">
          <bgColor theme="0"/>
        </patternFill>
      </fill>
      <alignment horizontal="center" wrapText="0" readingOrder="0"/>
      <protection locked="0"/>
    </ndxf>
  </rcc>
  <rcc rId="1525" sId="2" odxf="1" s="1" dxf="1">
    <oc r="AA18">
      <v>0</v>
    </oc>
    <nc r="AA18"/>
    <ndxf>
      <numFmt numFmtId="166" formatCode="#,##0.00_ ;[Red]\-#,##0.00\ "/>
      <fill>
        <patternFill patternType="solid">
          <bgColor theme="0"/>
        </patternFill>
      </fill>
      <alignment horizontal="center" wrapText="0" readingOrder="0"/>
      <protection locked="0"/>
    </ndxf>
  </rcc>
  <rcc rId="1526" sId="2" odxf="1" s="1" dxf="1">
    <oc r="AB18">
      <v>992.2</v>
    </oc>
    <nc r="AB18">
      <f>968444/1000</f>
    </nc>
    <ndxf>
      <numFmt numFmtId="166" formatCode="#,##0.00_ ;[Red]\-#,##0.00\ "/>
      <fill>
        <patternFill patternType="solid">
          <bgColor theme="0"/>
        </patternFill>
      </fill>
      <alignment horizontal="center" wrapText="0" readingOrder="0"/>
      <protection locked="0"/>
    </ndxf>
  </rcc>
  <rcc rId="1527" sId="2" odxf="1" s="1" dxf="1">
    <oc r="AC18">
      <v>0</v>
    </oc>
    <nc r="AC18"/>
    <ndxf>
      <numFmt numFmtId="166" formatCode="#,##0.00_ ;[Red]\-#,##0.00\ "/>
      <fill>
        <patternFill patternType="solid">
          <bgColor theme="0"/>
        </patternFill>
      </fill>
      <alignment horizontal="center" wrapText="0" readingOrder="0"/>
      <protection locked="0"/>
    </ndxf>
  </rcc>
  <rcc rId="1528" sId="2" odxf="1" s="1" dxf="1">
    <oc r="AD18">
      <v>0</v>
    </oc>
    <nc r="AD18">
      <f>2969.5/1000</f>
    </nc>
    <ndxf>
      <numFmt numFmtId="166" formatCode="#,##0.00_ ;[Red]\-#,##0.00\ "/>
      <fill>
        <patternFill patternType="solid">
          <bgColor theme="0"/>
        </patternFill>
      </fill>
      <alignment horizontal="center" wrapText="0" readingOrder="0"/>
      <protection locked="0"/>
    </ndxf>
  </rcc>
  <rcc rId="1529" sId="2" odxf="1" s="1" dxf="1">
    <oc r="AE18">
      <v>0</v>
    </oc>
    <nc r="AE18"/>
    <ndxf>
      <numFmt numFmtId="166" formatCode="#,##0.00_ ;[Red]\-#,##0.00\ "/>
      <fill>
        <patternFill patternType="solid">
          <bgColor theme="0"/>
        </patternFill>
      </fill>
      <alignment horizontal="center" wrapText="0" readingOrder="0"/>
      <protection locked="0"/>
    </ndxf>
  </rcc>
  <rcc rId="1530" sId="2" odxf="1" s="1" dxf="1">
    <oc r="AF18">
      <v>0</v>
    </oc>
    <nc r="AF18">
      <f>5939/1000</f>
    </nc>
    <ndxf>
      <numFmt numFmtId="166" formatCode="#,##0.00_ ;[Red]\-#,##0.00\ "/>
      <fill>
        <patternFill patternType="solid">
          <bgColor theme="0"/>
        </patternFill>
      </fill>
      <alignment horizontal="center" wrapText="0" readingOrder="0"/>
      <protection locked="0"/>
    </ndxf>
  </rcc>
  <rcc rId="1531" sId="2" odxf="1" s="1" dxf="1">
    <oc r="AG18">
      <v>0</v>
    </oc>
    <nc r="AG18"/>
    <ndxf>
      <font>
        <b val="0"/>
        <sz val="12"/>
        <color auto="1"/>
        <name val="Times New Roman"/>
        <scheme val="none"/>
      </font>
      <numFmt numFmtId="166" formatCode="#,##0.00_ ;[Red]\-#,##0.00\ "/>
      <fill>
        <patternFill patternType="solid">
          <bgColor theme="0"/>
        </patternFill>
      </fill>
      <alignment horizontal="center" wrapText="0" readingOrder="0"/>
      <protection locked="0"/>
    </ndxf>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32" sId="4" numFmtId="4">
    <oc r="P60">
      <v>2354.828</v>
    </oc>
    <nc r="P60">
      <v>3054.828</v>
    </nc>
  </rcc>
  <rcc rId="1533" sId="4" numFmtId="4">
    <oc r="Q60">
      <v>0</v>
    </oc>
    <nc r="Q60">
      <v>1591.8789999999999</v>
    </nc>
  </rcc>
  <rcc rId="1534" sId="4" numFmtId="4">
    <oc r="AF60">
      <v>5865.491</v>
    </oc>
    <nc r="AF60">
      <v>1720.9269999999999</v>
    </nc>
  </rcc>
  <rcc rId="1535" sId="4" numFmtId="4">
    <oc r="Q59">
      <v>0</v>
    </oc>
    <nc r="Q59">
      <v>14894.413</v>
    </nc>
  </rcc>
  <rcc rId="1536" sId="4" numFmtId="4">
    <oc r="Q62">
      <v>0</v>
    </oc>
    <nc r="Q62">
      <v>1432.7929999999999</v>
    </nc>
  </rcc>
  <rcc rId="1537" sId="4" numFmtId="4">
    <oc r="Q66">
      <v>0</v>
    </oc>
    <nc r="Q66">
      <v>1572.81</v>
    </nc>
  </rcc>
  <rcc rId="1538" sId="4" numFmtId="4">
    <oc r="Q76">
      <v>0</v>
    </oc>
    <nc r="Q76">
      <v>3038.9690000000001</v>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39" sId="13" numFmtId="19">
    <oc r="E6">
      <v>45748</v>
    </oc>
    <nc r="E6">
      <v>45778</v>
    </nc>
  </rcc>
  <rcc rId="1540" sId="13" numFmtId="19">
    <oc r="F6">
      <v>45748</v>
    </oc>
    <nc r="F6">
      <v>45778</v>
    </nc>
  </rcc>
  <rcc rId="1541" sId="13" numFmtId="19">
    <oc r="G6">
      <v>45748</v>
    </oc>
    <nc r="G6">
      <v>45778</v>
    </nc>
  </rcc>
  <rcc rId="1542" sId="13" numFmtId="4">
    <oc r="V12">
      <v>8.6720000000000006</v>
    </oc>
    <nc r="V12">
      <v>11.336</v>
    </nc>
  </rcc>
  <rcc rId="1543" sId="13" numFmtId="4">
    <oc r="AB12">
      <v>6.81</v>
    </oc>
    <nc r="AB12">
      <v>13.260999999999999</v>
    </nc>
  </rcc>
  <rcc rId="1544" sId="13" numFmtId="4">
    <oc r="AF12">
      <v>9.5830000000000002</v>
    </oc>
    <nc r="AF12">
      <v>0.46800000000000003</v>
    </nc>
  </rcc>
  <rcc rId="1545" sId="13">
    <oc r="E12">
      <f>J12+L12+N12</f>
    </oc>
    <nc r="E12">
      <f>J12+L12+N12+P12</f>
    </nc>
  </rcc>
  <rcc rId="1546" sId="13">
    <oc r="E17">
      <f>J17+L17+N17</f>
    </oc>
    <nc r="E17">
      <f>J17+L17+N17+P17</f>
    </nc>
  </rcc>
  <rcc rId="1547" sId="13">
    <oc r="E19">
      <f>J19+L19+N19</f>
    </oc>
    <nc r="E19">
      <f>J19+L19+N19+P19</f>
    </nc>
  </rcc>
  <rcc rId="1548" sId="13" numFmtId="4">
    <oc r="Q12">
      <v>0</v>
    </oc>
    <nc r="Q12">
      <v>23.306999999999999</v>
    </nc>
  </rcc>
  <rcc rId="1549" sId="13" numFmtId="4">
    <oc r="Q17">
      <v>0</v>
    </oc>
    <nc r="Q17">
      <v>1835.8309999999999</v>
    </nc>
  </rcc>
  <rcc rId="1550" sId="13" numFmtId="4">
    <oc r="Q19">
      <v>0</v>
    </oc>
    <nc r="Q19">
      <v>604.97199999999998</v>
    </nc>
  </rcc>
  <rcc rId="1551" sId="13">
    <oc r="AH14" t="inlineStr">
      <is>
        <t>Экономия на оплату труда и начисления на нее сложилась  в связи с наличем больничных листов.</t>
      </is>
    </oc>
    <nc r="AH14" t="inlineStr">
      <is>
        <t>Экономия на оплату труда и начисления на нее сложилась  в связи с наличием больничных листов.</t>
      </is>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2" sId="13">
    <oc r="AH12" t="inlineStr">
      <is>
        <t xml:space="preserve">Оплата произведена в начале апреля 2025 года (учитывая фактичечские сроки поступления статистической информации). </t>
      </is>
    </oc>
    <nc r="AH12" t="inlineStr">
      <is>
        <t>Оплата за статистические сборники произведена согласно выставленным счетам.</t>
      </is>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3" sId="13">
    <oc r="E15">
      <f>J15+L15+N15</f>
    </oc>
    <nc r="E15">
      <f>J15+L15+N15+P15</f>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9" sqref="B13:B16">
    <dxf>
      <fill>
        <patternFill patternType="solid">
          <bgColor theme="9" tint="0.59999389629810485"/>
        </patternFill>
      </fill>
    </dxf>
  </rfmt>
  <rfmt sheetId="9" sqref="B17:B20">
    <dxf>
      <fill>
        <patternFill patternType="solid">
          <bgColor theme="9" tint="0.59999389629810485"/>
        </patternFill>
      </fill>
    </dxf>
  </rfmt>
  <rfmt sheetId="9" sqref="B21:B22">
    <dxf>
      <fill>
        <patternFill patternType="solid">
          <bgColor theme="9" tint="0.59999389629810485"/>
        </patternFill>
      </fill>
    </dxf>
  </rfmt>
  <rfmt sheetId="9" sqref="B24:B25">
    <dxf>
      <fill>
        <patternFill patternType="solid">
          <bgColor theme="9" tint="0.59999389629810485"/>
        </patternFill>
      </fill>
    </dxf>
  </rfmt>
  <rcc rId="1384" sId="9" numFmtId="19">
    <oc r="E6">
      <v>45689</v>
    </oc>
    <nc r="E6">
      <v>45778</v>
    </nc>
  </rcc>
  <rcc rId="1385" sId="9" numFmtId="19">
    <oc r="F6">
      <v>45689</v>
    </oc>
    <nc r="F6" t="inlineStr">
      <is>
        <t>0105.2025</t>
      </is>
    </nc>
  </rcc>
  <rcc rId="1386" sId="9" numFmtId="19">
    <oc r="G6">
      <v>45689</v>
    </oc>
    <nc r="G6">
      <v>45778</v>
    </nc>
  </rcc>
  <rdn rId="0" localSheetId="1" customView="1" name="Z_DAEDC989_02E7_4319_8354_59410ACF3F1F_.wvu.Rows" hidden="1" oldHidden="1">
    <formula>'1. РО'!$28:$28,'1. РО'!$32:$32,'1. РО'!$52:$52,'1. РО'!$59:$59,'1. РО'!$71:$71,'1. РО'!$75:$75</formula>
  </rdn>
  <rdn rId="0" localSheetId="4" customView="1" name="Z_DAEDC989_02E7_4319_8354_59410ACF3F1F_.wvu.Rows" hidden="1" oldHidden="1">
    <formula>'4. КП'!$23:$23,'4. КП'!$27:$27,'4. КП'!$68:$68,'4. КП'!$75:$75,'4. КП'!$83:$83,'4. КП'!$87:$88,'4. КП'!$91:$91,'4. КП'!$93:$93</formula>
  </rdn>
  <rdn rId="0" localSheetId="5" customView="1" name="Z_DAEDC989_02E7_4319_8354_59410ACF3F1F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rdn>
  <rdn rId="0" localSheetId="6" customView="1" name="Z_DAEDC989_02E7_4319_8354_59410ACF3F1F_.wvu.Rows" hidden="1" oldHidden="1">
    <formula>'6. СЗН'!$9:$9,'6. СЗН'!$14:$14,'6. СЗН'!$18:$18,'6. СЗН'!$22:$22,'6. СЗН'!$26:$26,'6. СЗН'!$30:$31,'6. СЗН'!$34:$34,'6. СЗН'!$36:$36,'6. СЗН'!$39:$39,'6. СЗН'!$43:$43,'6. СЗН'!$45:$45,'6. СЗН'!$47:$48</formula>
  </rdn>
  <rdn rId="0" localSheetId="9" customView="1" name="Z_DAEDC989_02E7_4319_8354_59410ACF3F1F_.wvu.Rows" hidden="1" oldHidden="1">
    <formula>'9. РЖКК'!$14:$14,'9. РЖКК'!$28:$28</formula>
  </rdn>
  <rdn rId="0" localSheetId="14" customView="1" name="Z_DAEDC989_02E7_4319_8354_59410ACF3F1F_.wvu.Rows" hidden="1" oldHidden="1">
    <formula>'14. РТС'!$14:$15,'14. РТС'!$19:$19,'14. РТС'!$30:$30,'14. РТС'!$33:$33,'14. РТС'!$36:$36,'14. РТС'!$43:$43</formula>
  </rdn>
  <rdn rId="0" localSheetId="20" customView="1" name="Z_DAEDC989_02E7_4319_8354_59410ACF3F1F_.wvu.Rows" hidden="1" oldHidden="1">
    <formula>'20. МСП'!$19:$19</formula>
  </rdn>
  <rcv guid="{DAEDC989-02E7-4319-8354-59410ACF3F1F}"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4" sId="4" numFmtId="4">
    <oc r="Q75">
      <v>0</v>
    </oc>
    <nc r="Q75">
      <v>664.5</v>
    </nc>
  </rcc>
  <rcc rId="1555" sId="4" numFmtId="4">
    <oc r="Q89">
      <v>0</v>
    </oc>
    <nc r="Q89">
      <v>96.3</v>
    </nc>
  </rcc>
  <rcc rId="1556" sId="4" numFmtId="4">
    <oc r="Q55">
      <v>0</v>
    </oc>
    <nc r="Q55">
      <v>134.19999999999999</v>
    </nc>
  </rcc>
  <rcc rId="1557" sId="4" numFmtId="4">
    <oc r="Q57">
      <v>0</v>
    </oc>
    <nc r="Q57">
      <v>195</v>
    </nc>
  </rcc>
  <rcc rId="1558" sId="4" numFmtId="4">
    <oc r="Q48">
      <v>0</v>
    </oc>
    <nc r="Q48">
      <v>9233.7759999999998</v>
    </nc>
  </rcc>
  <rcc rId="1559" sId="4" numFmtId="4">
    <oc r="Q49">
      <v>0</v>
    </oc>
    <nc r="Q49">
      <v>537.74300000000005</v>
    </nc>
  </rcc>
  <rcc rId="1560" sId="4" numFmtId="4">
    <oc r="Q81">
      <v>0</v>
    </oc>
    <nc r="Q81">
      <v>1850.6320000000001</v>
    </nc>
  </rcc>
  <rcc rId="1561" sId="4" numFmtId="4">
    <oc r="P78">
      <v>1967178</v>
    </oc>
    <nc r="P78">
      <v>21872.62</v>
    </nc>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62" sId="4" numFmtId="4">
    <oc r="Q98">
      <v>0</v>
    </oc>
    <nc r="Q98">
      <v>888.25900000000001</v>
    </nc>
  </rcc>
  <rcc rId="1563" sId="4" numFmtId="4">
    <oc r="Q100">
      <v>0</v>
    </oc>
    <nc r="Q100">
      <v>499.77199999999999</v>
    </nc>
  </rcc>
  <rcc rId="1564" sId="4" numFmtId="4">
    <oc r="J42">
      <v>178.02</v>
    </oc>
    <nc r="J42">
      <v>1.32</v>
    </nc>
  </rcc>
  <rcc rId="1565" sId="4" numFmtId="4">
    <oc r="P42">
      <v>22.890999999999998</v>
    </oc>
    <nc r="P42">
      <v>21.66</v>
    </nc>
  </rcc>
  <rcc rId="1566" sId="4" numFmtId="4">
    <oc r="J79">
      <v>5222.1229999999996</v>
    </oc>
    <nc r="J79">
      <v>465.21</v>
    </nc>
  </rcc>
  <rcc rId="1567" sId="4" numFmtId="4">
    <oc r="AF79">
      <v>565.72199999999998</v>
    </oc>
    <nc r="AF79">
      <v>168.22900000000001</v>
    </nc>
  </rcc>
  <rcc rId="1568" sId="4" numFmtId="4">
    <oc r="P75">
      <v>1203.3</v>
    </oc>
    <nc r="P75">
      <v>664.5</v>
    </nc>
  </rcc>
  <rcc rId="1569" sId="4" numFmtId="4">
    <oc r="R75">
      <v>0</v>
    </oc>
    <nc r="R75">
      <v>538.79999999999995</v>
    </nc>
  </rcc>
  <rcc rId="1570" sId="4" numFmtId="4">
    <oc r="N78">
      <v>12961.901</v>
    </oc>
    <nc r="N78">
      <v>12361.901</v>
    </nc>
  </rcc>
  <rcc rId="1571" sId="4" numFmtId="4">
    <oc r="P78">
      <v>21872.62</v>
    </oc>
    <nc r="P78">
      <v>20271.78</v>
    </nc>
  </rcc>
  <rcc rId="1572" sId="4" numFmtId="4">
    <oc r="R78">
      <v>26745.493999999999</v>
    </oc>
    <nc r="R78">
      <v>26845.493999999999</v>
    </nc>
  </rcc>
  <rcc rId="1573" sId="4" numFmtId="4">
    <oc r="T78">
      <v>27073.513999999999</v>
    </oc>
    <nc r="T78">
      <v>27173.513999999999</v>
    </nc>
  </rcc>
  <rcc rId="1574" sId="4" numFmtId="4">
    <oc r="V78">
      <v>12502.478999999999</v>
    </oc>
    <nc r="V78">
      <v>12528.076999999999</v>
    </nc>
  </rcc>
  <rcc rId="1575" sId="4" numFmtId="4">
    <oc r="X78">
      <v>8371.4359999999997</v>
    </oc>
    <nc r="X78">
      <v>8229.8359999999993</v>
    </nc>
  </rcc>
  <rcc rId="1576" sId="4" numFmtId="4">
    <oc r="Z78">
      <v>8063.1790000000001</v>
    </oc>
    <nc r="Z78">
      <v>7800.7790000000005</v>
    </nc>
  </rcc>
  <rcc rId="1577" sId="4" numFmtId="4">
    <oc r="AB78">
      <v>18277.100999999999</v>
    </oc>
    <nc r="AB78">
      <v>17600.501</v>
    </nc>
  </rcc>
  <rcc rId="1578" sId="4" numFmtId="4">
    <oc r="AD78">
      <v>11267.041999999999</v>
    </oc>
    <nc r="AD78">
      <v>10874.441999999999</v>
    </nc>
  </rcc>
  <rcc rId="1579" sId="4" numFmtId="4">
    <oc r="AF78">
      <v>16007.9</v>
    </oc>
    <nc r="AF78">
      <v>15662.102000000001</v>
    </nc>
  </rcc>
  <rcc rId="1580" sId="4" numFmtId="4">
    <oc r="N98">
      <v>963.08500000000004</v>
    </oc>
    <nc r="N98">
      <v>849.58500000000004</v>
    </nc>
  </rcc>
  <rcc rId="1581" sId="4" numFmtId="4">
    <oc r="P98">
      <v>1510.096</v>
    </oc>
    <nc r="P98">
      <v>1540.096</v>
    </nc>
  </rcc>
  <rcc rId="1582" sId="4" numFmtId="4">
    <oc r="T98">
      <v>963.08500000000004</v>
    </oc>
    <nc r="T98">
      <v>838.08500000000004</v>
    </nc>
  </rcc>
  <rcc rId="1583" sId="4" numFmtId="4">
    <oc r="Z98">
      <v>963.08500000000004</v>
    </oc>
    <nc r="Z98">
      <v>838.08500000000004</v>
    </nc>
  </rcc>
  <rcc rId="1584" sId="4" numFmtId="4">
    <oc r="AF98">
      <v>1288.386</v>
    </oc>
    <nc r="AF98">
      <v>1074.9860000000001</v>
    </nc>
  </rcc>
  <rcc rId="1585" sId="4" numFmtId="4">
    <oc r="N100">
      <v>499.03100000000001</v>
    </oc>
    <nc r="N100">
      <v>439.03100000000001</v>
    </nc>
  </rcc>
  <rcc rId="1586" sId="4" numFmtId="4">
    <oc r="T100">
      <v>499.03100000000001</v>
    </oc>
    <nc r="T100">
      <v>439.03100000000001</v>
    </nc>
  </rcc>
  <rcc rId="1587" sId="4" numFmtId="4">
    <oc r="Z100">
      <v>527.43100000000004</v>
    </oc>
    <nc r="Z100">
      <v>467.43099999999998</v>
    </nc>
  </rcc>
  <rcc rId="1588" sId="4" numFmtId="4">
    <oc r="AF100">
      <v>683.178</v>
    </oc>
    <nc r="AF100">
      <v>577.07799999999997</v>
    </nc>
  </rcc>
  <rcc rId="1589" sId="4" numFmtId="4">
    <oc r="L32">
      <v>2563.4839999999999</v>
    </oc>
    <nc r="L32">
      <v>0</v>
    </nc>
  </rcc>
  <rcc rId="1590" sId="4" numFmtId="4">
    <oc r="L33">
      <v>52.316000000000003</v>
    </oc>
    <nc r="L33">
      <v>0</v>
    </nc>
  </rcc>
  <rcc rId="1591" sId="4" numFmtId="4">
    <oc r="N33">
      <v>101.684</v>
    </oc>
    <nc r="N33">
      <v>29.739000000000001</v>
    </nc>
  </rcc>
  <rcc rId="1592" sId="4" numFmtId="4">
    <oc r="N32">
      <v>4982.5159999999996</v>
    </oc>
    <nc r="N32">
      <v>888.91300000000001</v>
    </nc>
  </rcc>
  <rcc rId="1593" sId="4" numFmtId="4">
    <oc r="N31">
      <v>0</v>
    </oc>
    <nc r="N31">
      <v>568.322</v>
    </nc>
  </rcc>
  <rcc rId="1594" sId="4" numFmtId="4">
    <oc r="P31">
      <v>0</v>
    </oc>
    <nc r="P31">
      <v>592.41</v>
    </nc>
  </rcc>
  <rcc rId="1595" sId="4" numFmtId="4">
    <oc r="P32">
      <v>0</v>
    </oc>
    <nc r="P32">
      <v>926.58900000000006</v>
    </nc>
  </rcc>
  <rcc rId="1596" sId="4" numFmtId="4">
    <oc r="P33">
      <v>0</v>
    </oc>
    <nc r="P33">
      <v>31</v>
    </nc>
  </rcc>
  <rcc rId="1597" sId="4" numFmtId="4">
    <oc r="R31">
      <v>6589.52</v>
    </oc>
    <nc r="R31">
      <v>5372.5959999999995</v>
    </nc>
  </rcc>
  <rcc rId="1598" sId="4" numFmtId="4">
    <oc r="R32">
      <v>112.7</v>
    </oc>
    <nc r="R32">
      <v>8403.2870000000003</v>
    </nc>
  </rcc>
  <rcc rId="1599" sId="4" numFmtId="4">
    <oc r="R33">
      <v>136.78</v>
    </oc>
    <nc r="R33">
      <v>281.14</v>
    </nc>
  </rcc>
  <rcc rId="1600" sId="4" numFmtId="4">
    <oc r="T32">
      <v>784</v>
    </oc>
    <nc r="T32">
      <v>0</v>
    </nc>
  </rcc>
  <rcc rId="1601" sId="4" numFmtId="4">
    <oc r="T33">
      <v>16</v>
    </oc>
    <nc r="T33">
      <v>0</v>
    </nc>
  </rcc>
  <rcc rId="1602" sId="4" numFmtId="4">
    <oc r="X32">
      <v>1719.9</v>
    </oc>
    <nc r="X32">
      <v>0</v>
    </nc>
  </rcc>
  <rcc rId="1603" sId="4" numFmtId="4">
    <oc r="X33">
      <v>35.1</v>
    </oc>
    <nc r="X33">
      <v>0</v>
    </nc>
  </rcc>
  <rcc rId="1604" sId="4" numFmtId="4">
    <oc r="AB31">
      <v>48.08</v>
    </oc>
    <nc r="AB31">
      <v>104.27800000000001</v>
    </nc>
  </rcc>
  <rcc rId="1605" sId="4" numFmtId="4">
    <oc r="AB32">
      <v>219.3</v>
    </oc>
    <nc r="AB32">
      <v>163.101</v>
    </nc>
  </rcc>
  <rcc rId="1606" sId="4" numFmtId="4">
    <oc r="AB33">
      <v>5.52</v>
    </oc>
    <nc r="AB33">
      <v>5.4560000000000004</v>
    </nc>
  </rcc>
  <rcc rId="1607" sId="4" numFmtId="4">
    <oc r="AF33">
      <v>0</v>
    </oc>
    <nc r="AF33">
      <v>6.3E-2</v>
    </nc>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08" sId="20" numFmtId="4">
    <oc r="Q22">
      <v>0</v>
    </oc>
    <nc r="Q22">
      <v>1331.1</v>
    </nc>
  </rcc>
  <rcc rId="1609" sId="20" numFmtId="19">
    <oc r="E6">
      <v>45717</v>
    </oc>
    <nc r="E6">
      <v>45778</v>
    </nc>
  </rcc>
  <rcc rId="1610" sId="20">
    <oc r="E22">
      <f>J22+L22</f>
    </oc>
    <nc r="E22">
      <f>J22+L22+O22+Q22</f>
    </nc>
  </rcc>
  <rcc rId="1611" sId="20">
    <oc r="E10">
      <f>J10</f>
    </oc>
    <nc r="E10">
      <f>J10+L10+N10+P10</f>
    </nc>
  </rcc>
  <rcc rId="1612" sId="20" numFmtId="19">
    <oc r="F6">
      <v>45689</v>
    </oc>
    <nc r="F6">
      <v>45778</v>
    </nc>
  </rcc>
  <rcc rId="1613" sId="20" numFmtId="19">
    <oc r="G6">
      <v>45689</v>
    </oc>
    <nc r="G6">
      <v>45778</v>
    </nc>
  </rcc>
  <rcv guid="{C282AA4E-1BB5-4296-9AC6-844C0F88E5FC}" action="delete"/>
  <rdn rId="0" localSheetId="1" customView="1" name="Z_C282AA4E_1BB5_4296_9AC6_844C0F88E5FC_.wvu.Rows" hidden="1" oldHidden="1">
    <formula>'1. РО'!$28:$28,'1. РО'!$32:$32,'1. РО'!$52:$52,'1. РО'!$59:$59,'1. РО'!$71:$71,'1. РО'!$75:$75</formula>
    <oldFormula>'1. РО'!$28:$28,'1. РО'!$32:$32,'1. РО'!$52:$52,'1. РО'!$59:$59,'1. РО'!$71:$71,'1. РО'!$75:$75</oldFormula>
  </rdn>
  <rdn rId="0" localSheetId="4" customView="1" name="Z_C282AA4E_1BB5_4296_9AC6_844C0F88E5FC_.wvu.Rows" hidden="1" oldHidden="1">
    <formula>'4. КП'!$23:$23,'4. КП'!$27:$27,'4. КП'!$68:$68,'4. КП'!$75:$75,'4. КП'!$83:$83,'4. КП'!$87:$88,'4. КП'!$91:$91,'4. КП'!$93:$93</formula>
    <oldFormula>'4. КП'!$23:$23,'4. КП'!$27:$27,'4. КП'!$68:$68,'4. КП'!$75:$75,'4. КП'!$83:$83,'4. КП'!$87:$88,'4. КП'!$91:$91,'4. КП'!$93:$93</oldFormula>
  </rdn>
  <rdn rId="0" localSheetId="5" customView="1" name="Z_C282AA4E_1BB5_4296_9AC6_844C0F88E5FC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C282AA4E_1BB5_4296_9AC6_844C0F88E5FC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C282AA4E_1BB5_4296_9AC6_844C0F88E5FC_.wvu.Rows" hidden="1" oldHidden="1">
    <formula>'9. РЖКК'!$14:$14,'9. РЖКК'!$28:$28</formula>
    <oldFormula>'9. РЖКК'!$14:$14,'9. РЖКК'!$28:$28</oldFormula>
  </rdn>
  <rdn rId="0" localSheetId="14" customView="1" name="Z_C282AA4E_1BB5_4296_9AC6_844C0F88E5FC_.wvu.Rows" hidden="1" oldHidden="1">
    <formula>'14. РТС'!$14:$15,'14. РТС'!$19:$19,'14. РТС'!$30:$30,'14. РТС'!$33:$33,'14. РТС'!$36:$36,'14. РТС'!$43:$43</formula>
    <oldFormula>'14. РТС'!$14:$15,'14. РТС'!$19:$19,'14. РТС'!$30:$30,'14. РТС'!$33:$33,'14. РТС'!$36:$36,'14. РТС'!$43:$43</oldFormula>
  </rdn>
  <rdn rId="0" localSheetId="20" customView="1" name="Z_C282AA4E_1BB5_4296_9AC6_844C0F88E5FC_.wvu.Rows" hidden="1" oldHidden="1">
    <formula>'20. МСП'!$19:$19</formula>
    <oldFormula>'20. МСП'!$19:$19</oldFormula>
  </rdn>
  <rcv guid="{C282AA4E-1BB5-4296-9AC6-844C0F88E5FC}" action="add"/>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21" sId="4" numFmtId="4">
    <oc r="Q46">
      <v>0</v>
    </oc>
    <nc r="Q46">
      <v>90.82</v>
    </nc>
  </rcc>
  <rcc rId="1622" sId="4" numFmtId="4">
    <oc r="Q41">
      <v>0</v>
    </oc>
    <nc r="Q41">
      <v>7376.73</v>
    </nc>
  </rcc>
  <rcc rId="1623" sId="4" numFmtId="4">
    <oc r="Q25">
      <v>0</v>
    </oc>
    <nc r="Q25">
      <v>1.55</v>
    </nc>
  </rcc>
  <rcc rId="1624" sId="4" numFmtId="4">
    <oc r="Q24">
      <v>0</v>
    </oc>
    <nc r="Q24">
      <v>10.1</v>
    </nc>
  </rcc>
  <rcc rId="1625" sId="4" numFmtId="4">
    <oc r="Q28">
      <v>0</v>
    </oc>
    <nc r="Q28">
      <v>2.9</v>
    </nc>
  </rcc>
  <rcc rId="1626" sId="4" numFmtId="4">
    <oc r="Q29">
      <v>0</v>
    </oc>
    <nc r="Q29">
      <v>7.38</v>
    </nc>
  </rcc>
  <rcc rId="1627" sId="4" numFmtId="4">
    <oc r="Q42">
      <v>0</v>
    </oc>
    <nc r="Q42">
      <v>6.87</v>
    </nc>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28" sId="2">
    <oc r="E11">
      <f>E15</f>
    </oc>
    <nc r="E11">
      <f>E15</f>
    </nc>
  </rcc>
  <rcc rId="1629" sId="2" numFmtId="4">
    <oc r="J15">
      <v>359.399</v>
    </oc>
    <nc r="J15">
      <v>405.21</v>
    </nc>
  </rcc>
  <rcc rId="1630" sId="2" numFmtId="4">
    <oc r="K15">
      <v>49.475999999999999</v>
    </oc>
    <nc r="K15">
      <v>95.28</v>
    </nc>
  </rcc>
  <rcc rId="1631" sId="2" numFmtId="4">
    <oc r="L15">
      <v>349.39400000000001</v>
    </oc>
    <nc r="L15">
      <v>440.59</v>
    </nc>
  </rcc>
  <rcc rId="1632" sId="2" numFmtId="4">
    <oc r="M15">
      <v>62.096000000000004</v>
    </oc>
    <nc r="M15">
      <v>74.86</v>
    </nc>
  </rcc>
  <rcc rId="1633" sId="2" numFmtId="4">
    <oc r="N15">
      <v>453.95099999999991</v>
    </oc>
    <nc r="N15">
      <v>316.95</v>
    </nc>
  </rcc>
  <rcc rId="1634" sId="2" numFmtId="4">
    <oc r="O15">
      <v>75.24799999999999</v>
    </oc>
    <nc r="O15">
      <v>16.68</v>
    </nc>
  </rcc>
  <rcc rId="1635" sId="2" numFmtId="4">
    <oc r="Q15">
      <v>0</v>
    </oc>
    <nc r="Q15">
      <v>154.47</v>
    </nc>
  </rcc>
  <rcc rId="1636" sId="2">
    <oc r="E15">
      <f>J15+L15+N15</f>
    </oc>
    <nc r="E15">
      <f>J15+L15+N15+P15</f>
    </nc>
  </rcc>
  <rcc rId="1637" sId="2" numFmtId="4">
    <oc r="F15">
      <v>373.64</v>
    </oc>
    <nc r="F15">
      <f>E15</f>
    </nc>
  </rcc>
  <rcc rId="1638" sId="2" numFmtId="4">
    <oc r="L14">
      <v>31955.551999999996</v>
    </oc>
    <nc r="L14">
      <v>32146.23</v>
    </nc>
  </rcc>
  <rcc rId="1639" sId="2" numFmtId="4">
    <oc r="P14">
      <v>15241.798650000001</v>
    </oc>
    <nc r="P14">
      <v>71688.37</v>
    </nc>
  </rcc>
  <rcc rId="1640" sId="2" numFmtId="4">
    <oc r="Q14">
      <v>0</v>
    </oc>
    <nc r="Q14">
      <v>57468.67</v>
    </nc>
  </rcc>
  <rcc rId="1641" sId="2" numFmtId="4">
    <oc r="R14">
      <v>32635.350309999998</v>
    </oc>
    <nc r="R14">
      <v>16344.16</v>
    </nc>
  </rcc>
  <rcc rId="1642" sId="2" numFmtId="4">
    <oc r="T14">
      <v>17359.621319999998</v>
    </oc>
    <nc r="T14">
      <v>17475.849999999999</v>
    </nc>
  </rcc>
  <rcc rId="1643" sId="2" numFmtId="4">
    <oc r="V14">
      <v>14190.000739999999</v>
    </oc>
    <nc r="V14">
      <v>14275.58</v>
    </nc>
  </rcc>
  <rcc rId="1644" sId="2" numFmtId="4">
    <oc r="X14">
      <v>12182.73272</v>
    </oc>
    <nc r="X14">
      <v>13773.47</v>
    </nc>
  </rcc>
  <rcc rId="1645" sId="2" numFmtId="4">
    <oc r="Z14">
      <v>11926.05442</v>
    </oc>
    <nc r="Z14">
      <v>14789.98</v>
    </nc>
  </rcc>
  <rcc rId="1646" sId="2" numFmtId="4">
    <oc r="AB14">
      <v>85101.322109999994</v>
    </oc>
    <nc r="AB14">
      <v>52623.99</v>
    </nc>
  </rcc>
  <rcc rId="1647" sId="2" numFmtId="4">
    <oc r="AD14">
      <v>8960.0357100000001</v>
    </oc>
    <nc r="AD14">
      <v>8570.76</v>
    </nc>
  </rcc>
  <rcc rId="1648" sId="2" numFmtId="4">
    <oc r="AF14">
      <v>16644.67585</v>
    </oc>
    <nc r="AF14">
      <v>7648.43</v>
    </nc>
  </rcc>
  <rfmt sheetId="2" sqref="AH15" start="0" length="0">
    <dxf>
      <numFmt numFmtId="166" formatCode="#,##0.00_ ;[Red]\-#,##0.00\ "/>
    </dxf>
  </rfmt>
  <rcc rId="1649" sId="2" numFmtId="4">
    <oc r="AD15">
      <v>316.91600000000028</v>
    </oc>
    <nc r="AD15">
      <v>316.916</v>
    </nc>
  </rcc>
  <rcc rId="1650" sId="2" numFmtId="4">
    <oc r="V15">
      <v>497.37500000000011</v>
    </oc>
    <nc r="V15">
      <v>497.375</v>
    </nc>
  </rcc>
  <rcc rId="1651" sId="2" numFmtId="4">
    <oc r="P15">
      <v>415.02300000000025</v>
    </oc>
    <nc r="P15">
      <v>415.02</v>
    </nc>
  </rcc>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BF6B43F-E0FC-43DF-B91C-674F6AB4B556}" action="delete"/>
  <rdn rId="0" localSheetId="1" customView="1" name="Z_BBF6B43F_E0FC_43DF_B91C_674F6AB4B556_.wvu.Rows" hidden="1" oldHidden="1">
    <formula>'1. РО'!$28:$28,'1. РО'!$32:$32,'1. РО'!$52:$52,'1. РО'!$59:$59,'1. РО'!$71:$71,'1. РО'!$75:$75</formula>
    <oldFormula>'1. РО'!$28:$28,'1. РО'!$32:$32,'1. РО'!$52:$52,'1. РО'!$59:$59,'1. РО'!$71:$71,'1. РО'!$75:$75</oldFormula>
  </rdn>
  <rdn rId="0" localSheetId="4" customView="1" name="Z_BBF6B43F_E0FC_43DF_B91C_674F6AB4B556_.wvu.Rows" hidden="1" oldHidden="1">
    <formula>'4. КП'!$23:$23,'4. КП'!$27:$27,'4. КП'!$68:$68,'4. КП'!$75:$75,'4. КП'!$83:$83,'4. КП'!$87:$88,'4. КП'!$91:$91,'4. КП'!$93:$93</formula>
    <oldFormula>'4. КП'!$23:$23,'4. КП'!$27:$27,'4. КП'!$68:$68,'4. КП'!$75:$75,'4. КП'!$83:$83,'4. КП'!$87:$88,'4. КП'!$91:$91,'4. КП'!$93:$93</oldFormula>
  </rdn>
  <rdn rId="0" localSheetId="5" customView="1" name="Z_BBF6B43F_E0FC_43DF_B91C_674F6AB4B556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BBF6B43F_E0FC_43DF_B91C_674F6AB4B556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BBF6B43F_E0FC_43DF_B91C_674F6AB4B556_.wvu.Rows" hidden="1" oldHidden="1">
    <formula>'9. РЖКК'!$14:$14,'9. РЖКК'!$28:$28</formula>
    <oldFormula>'9. РЖКК'!$14:$14,'9. РЖКК'!$28:$28</oldFormula>
  </rdn>
  <rdn rId="0" localSheetId="14" customView="1" name="Z_BBF6B43F_E0FC_43DF_B91C_674F6AB4B556_.wvu.Rows" hidden="1" oldHidden="1">
    <formula>'14. РТС'!$14:$15,'14. РТС'!$19:$19,'14. РТС'!$30:$30,'14. РТС'!$33:$33,'14. РТС'!$36:$36,'14. РТС'!$43:$43</formula>
    <oldFormula>'14. РТС'!$14:$15,'14. РТС'!$19:$19,'14. РТС'!$30:$30,'14. РТС'!$33:$33,'14. РТС'!$36:$36,'14. РТС'!$43:$43</oldFormula>
  </rdn>
  <rdn rId="0" localSheetId="20" customView="1" name="Z_BBF6B43F_E0FC_43DF_B91C_674F6AB4B556_.wvu.Rows" hidden="1" oldHidden="1">
    <formula>'20. МСП'!$19:$19</formula>
    <oldFormula>'20. МСП'!$19:$19</oldFormula>
  </rdn>
  <rcv guid="{BBF6B43F-E0FC-43DF-B91C-674F6AB4B556}" action="add"/>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59" sId="3" numFmtId="19">
    <oc r="E6">
      <v>45748</v>
    </oc>
    <nc r="E6">
      <v>45778</v>
    </nc>
  </rcc>
  <rcc rId="1660" sId="3" numFmtId="19">
    <oc r="F6">
      <v>45748</v>
    </oc>
    <nc r="F6">
      <v>45778</v>
    </nc>
  </rcc>
  <rcc rId="1661" sId="3" numFmtId="19">
    <oc r="G6">
      <v>45748</v>
    </oc>
    <nc r="G6">
      <v>45778</v>
    </nc>
  </rcc>
  <rcc rId="1662" sId="3">
    <oc r="E13">
      <f>E15+E16+E14</f>
    </oc>
    <nc r="E13">
      <f>E15+E16+E14</f>
    </nc>
  </rcc>
  <rcc rId="1663" sId="3">
    <oc r="E16">
      <f>J16+L16+N16</f>
    </oc>
    <nc r="E16">
      <f>J16+L16+N16+P16</f>
    </nc>
  </rcc>
  <rrc rId="1664" sId="3" ref="A17:XFD18" action="insertRow"/>
  <rcc rId="1665" sId="3" odxf="1" dxf="1">
    <nc r="C17" t="inlineStr">
      <is>
        <t>Всего</t>
      </is>
    </nc>
    <odxf>
      <font>
        <b val="0"/>
        <sz val="12"/>
        <color auto="1"/>
        <name val="Times New Roman"/>
        <scheme val="none"/>
      </font>
    </odxf>
    <ndxf>
      <font>
        <b/>
        <sz val="12"/>
        <color auto="1"/>
        <name val="Times New Roman"/>
        <scheme val="none"/>
      </font>
    </ndxf>
  </rcc>
  <rcc rId="1666" sId="3" odxf="1" dxf="1">
    <nc r="D17">
      <f>D19+D20+D18</f>
    </nc>
    <odxf>
      <font>
        <b val="0"/>
        <sz val="12"/>
        <color auto="1"/>
        <name val="Times New Roman"/>
        <scheme val="none"/>
      </font>
    </odxf>
    <ndxf>
      <font>
        <b/>
        <sz val="12"/>
        <color auto="1"/>
        <name val="Times New Roman"/>
        <scheme val="none"/>
      </font>
    </ndxf>
  </rcc>
  <rfmt sheetId="3" sqref="E17" start="0" length="0">
    <dxf>
      <font>
        <b/>
        <sz val="12"/>
        <color auto="1"/>
        <name val="Times New Roman"/>
        <scheme val="none"/>
      </font>
    </dxf>
  </rfmt>
  <rcc rId="1667" sId="3" odxf="1" dxf="1">
    <nc r="F17">
      <f>F19+F20+F18</f>
    </nc>
    <odxf>
      <font>
        <b val="0"/>
        <sz val="12"/>
        <color auto="1"/>
        <name val="Times New Roman"/>
        <scheme val="none"/>
      </font>
    </odxf>
    <ndxf>
      <font>
        <b/>
        <sz val="12"/>
        <color auto="1"/>
        <name val="Times New Roman"/>
        <scheme val="none"/>
      </font>
    </ndxf>
  </rcc>
  <rcc rId="1668" sId="3" odxf="1" dxf="1">
    <nc r="G17">
      <f>G19+G20+G18</f>
    </nc>
    <odxf>
      <font>
        <b val="0"/>
        <sz val="12"/>
        <color auto="1"/>
        <name val="Times New Roman"/>
        <scheme val="none"/>
      </font>
    </odxf>
    <ndxf>
      <font>
        <b/>
        <sz val="12"/>
        <color auto="1"/>
        <name val="Times New Roman"/>
        <scheme val="none"/>
      </font>
    </ndxf>
  </rcc>
  <rcc rId="1669" sId="3" odxf="1" dxf="1">
    <nc r="H17">
      <f>IFERROR(G17/D17*100,0)</f>
    </nc>
    <odxf>
      <font>
        <b val="0"/>
        <sz val="12"/>
        <color auto="1"/>
        <name val="Times New Roman"/>
        <scheme val="none"/>
      </font>
    </odxf>
    <ndxf>
      <font>
        <b/>
        <sz val="12"/>
        <color auto="1"/>
        <name val="Times New Roman"/>
        <scheme val="none"/>
      </font>
    </ndxf>
  </rcc>
  <rcc rId="1670" sId="3" odxf="1" dxf="1">
    <nc r="I17">
      <f>IFERROR(G17/E17*100,0)</f>
    </nc>
    <odxf>
      <font>
        <b val="0"/>
        <sz val="12"/>
        <color auto="1"/>
        <name val="Times New Roman"/>
        <scheme val="none"/>
      </font>
    </odxf>
    <ndxf>
      <font>
        <b/>
        <sz val="12"/>
        <color auto="1"/>
        <name val="Times New Roman"/>
        <scheme val="none"/>
      </font>
    </ndxf>
  </rcc>
  <rcc rId="1671" sId="3" odxf="1" dxf="1">
    <nc r="J17">
      <f>J19+J20+J18</f>
    </nc>
    <odxf>
      <font>
        <b val="0"/>
        <sz val="12"/>
        <color auto="1"/>
        <name val="Times New Roman"/>
        <scheme val="none"/>
      </font>
      <protection locked="0"/>
    </odxf>
    <ndxf>
      <font>
        <b/>
        <sz val="12"/>
        <color auto="1"/>
        <name val="Times New Roman"/>
        <scheme val="none"/>
      </font>
      <protection locked="1"/>
    </ndxf>
  </rcc>
  <rcc rId="1672" sId="3" odxf="1" dxf="1">
    <nc r="K17">
      <f>K19+K20+K18</f>
    </nc>
    <odxf>
      <font>
        <b val="0"/>
        <sz val="12"/>
        <color auto="1"/>
        <name val="Times New Roman"/>
        <scheme val="none"/>
      </font>
      <protection locked="0"/>
    </odxf>
    <ndxf>
      <font>
        <b/>
        <sz val="12"/>
        <color auto="1"/>
        <name val="Times New Roman"/>
        <scheme val="none"/>
      </font>
      <protection locked="1"/>
    </ndxf>
  </rcc>
  <rcc rId="1673" sId="3" odxf="1" dxf="1">
    <nc r="L17">
      <f>L19+L20+L18</f>
    </nc>
    <odxf>
      <font>
        <b val="0"/>
        <sz val="12"/>
        <color auto="1"/>
        <name val="Times New Roman"/>
        <scheme val="none"/>
      </font>
      <protection locked="0"/>
    </odxf>
    <ndxf>
      <font>
        <b/>
        <sz val="12"/>
        <color auto="1"/>
        <name val="Times New Roman"/>
        <scheme val="none"/>
      </font>
      <protection locked="1"/>
    </ndxf>
  </rcc>
  <rcc rId="1674" sId="3" odxf="1" dxf="1">
    <nc r="M17">
      <f>M19+M20+M18</f>
    </nc>
    <odxf>
      <font>
        <b val="0"/>
        <sz val="12"/>
        <color auto="1"/>
        <name val="Times New Roman"/>
        <scheme val="none"/>
      </font>
      <protection locked="0"/>
    </odxf>
    <ndxf>
      <font>
        <b/>
        <sz val="12"/>
        <color auto="1"/>
        <name val="Times New Roman"/>
        <scheme val="none"/>
      </font>
      <protection locked="1"/>
    </ndxf>
  </rcc>
  <rcc rId="1675" sId="3" odxf="1" dxf="1">
    <nc r="N17">
      <f>N19+N20+N18</f>
    </nc>
    <odxf>
      <font>
        <b val="0"/>
        <sz val="12"/>
        <color auto="1"/>
        <name val="Times New Roman"/>
        <scheme val="none"/>
      </font>
      <protection locked="0"/>
    </odxf>
    <ndxf>
      <font>
        <b/>
        <sz val="12"/>
        <color auto="1"/>
        <name val="Times New Roman"/>
        <scheme val="none"/>
      </font>
      <protection locked="1"/>
    </ndxf>
  </rcc>
  <rcc rId="1676" sId="3" odxf="1" dxf="1">
    <nc r="O17">
      <f>O19+O20+O18</f>
    </nc>
    <odxf>
      <font>
        <b val="0"/>
        <sz val="12"/>
        <color auto="1"/>
        <name val="Times New Roman"/>
        <scheme val="none"/>
      </font>
      <protection locked="0"/>
    </odxf>
    <ndxf>
      <font>
        <b/>
        <sz val="12"/>
        <color auto="1"/>
        <name val="Times New Roman"/>
        <scheme val="none"/>
      </font>
      <protection locked="1"/>
    </ndxf>
  </rcc>
  <rcc rId="1677" sId="3" odxf="1" dxf="1">
    <nc r="P17">
      <f>P19+P20+P18</f>
    </nc>
    <odxf>
      <font>
        <b val="0"/>
        <sz val="12"/>
        <color auto="1"/>
        <name val="Times New Roman"/>
        <scheme val="none"/>
      </font>
      <protection locked="0"/>
    </odxf>
    <ndxf>
      <font>
        <b/>
        <sz val="12"/>
        <color auto="1"/>
        <name val="Times New Roman"/>
        <scheme val="none"/>
      </font>
      <protection locked="1"/>
    </ndxf>
  </rcc>
  <rcc rId="1678" sId="3" odxf="1" dxf="1">
    <nc r="Q17">
      <f>Q19+Q20+Q18</f>
    </nc>
    <odxf>
      <font>
        <b val="0"/>
        <sz val="12"/>
        <color auto="1"/>
        <name val="Times New Roman"/>
        <scheme val="none"/>
      </font>
      <protection locked="0"/>
    </odxf>
    <ndxf>
      <font>
        <b/>
        <sz val="12"/>
        <color auto="1"/>
        <name val="Times New Roman"/>
        <scheme val="none"/>
      </font>
      <protection locked="1"/>
    </ndxf>
  </rcc>
  <rcc rId="1679" sId="3" odxf="1" dxf="1">
    <nc r="R17">
      <f>R19+R20+R18</f>
    </nc>
    <odxf>
      <font>
        <b val="0"/>
        <sz val="12"/>
        <color auto="1"/>
        <name val="Times New Roman"/>
        <scheme val="none"/>
      </font>
      <protection locked="0"/>
    </odxf>
    <ndxf>
      <font>
        <b/>
        <sz val="12"/>
        <color auto="1"/>
        <name val="Times New Roman"/>
        <scheme val="none"/>
      </font>
      <protection locked="1"/>
    </ndxf>
  </rcc>
  <rcc rId="1680" sId="3" odxf="1" dxf="1">
    <nc r="S17">
      <f>S19+S20+S18</f>
    </nc>
    <odxf>
      <font>
        <b val="0"/>
        <sz val="12"/>
        <color auto="1"/>
        <name val="Times New Roman"/>
        <scheme val="none"/>
      </font>
      <protection locked="0"/>
    </odxf>
    <ndxf>
      <font>
        <b/>
        <sz val="12"/>
        <color auto="1"/>
        <name val="Times New Roman"/>
        <scheme val="none"/>
      </font>
      <protection locked="1"/>
    </ndxf>
  </rcc>
  <rcc rId="1681" sId="3" odxf="1" dxf="1">
    <nc r="T17">
      <f>T19+T20+T18</f>
    </nc>
    <odxf>
      <font>
        <b val="0"/>
        <sz val="12"/>
        <color auto="1"/>
        <name val="Times New Roman"/>
        <scheme val="none"/>
      </font>
      <protection locked="0"/>
    </odxf>
    <ndxf>
      <font>
        <b/>
        <sz val="12"/>
        <color auto="1"/>
        <name val="Times New Roman"/>
        <scheme val="none"/>
      </font>
      <protection locked="1"/>
    </ndxf>
  </rcc>
  <rcc rId="1682" sId="3" odxf="1" dxf="1">
    <nc r="U17">
      <f>U19+U20+U18</f>
    </nc>
    <odxf>
      <font>
        <b val="0"/>
        <sz val="12"/>
        <color auto="1"/>
        <name val="Times New Roman"/>
        <scheme val="none"/>
      </font>
      <protection locked="0"/>
    </odxf>
    <ndxf>
      <font>
        <b/>
        <sz val="12"/>
        <color auto="1"/>
        <name val="Times New Roman"/>
        <scheme val="none"/>
      </font>
      <protection locked="1"/>
    </ndxf>
  </rcc>
  <rcc rId="1683" sId="3" odxf="1" dxf="1">
    <nc r="V17">
      <f>V19+V20+V18</f>
    </nc>
    <odxf>
      <font>
        <b val="0"/>
        <sz val="12"/>
        <color auto="1"/>
        <name val="Times New Roman"/>
        <scheme val="none"/>
      </font>
      <protection locked="0"/>
    </odxf>
    <ndxf>
      <font>
        <b/>
        <sz val="12"/>
        <color auto="1"/>
        <name val="Times New Roman"/>
        <scheme val="none"/>
      </font>
      <protection locked="1"/>
    </ndxf>
  </rcc>
  <rcc rId="1684" sId="3" odxf="1" dxf="1">
    <nc r="W17">
      <f>W19+W20+W18</f>
    </nc>
    <odxf>
      <font>
        <b val="0"/>
        <sz val="12"/>
        <color auto="1"/>
        <name val="Times New Roman"/>
        <scheme val="none"/>
      </font>
      <protection locked="0"/>
    </odxf>
    <ndxf>
      <font>
        <b/>
        <sz val="12"/>
        <color auto="1"/>
        <name val="Times New Roman"/>
        <scheme val="none"/>
      </font>
      <protection locked="1"/>
    </ndxf>
  </rcc>
  <rcc rId="1685" sId="3" odxf="1" dxf="1">
    <nc r="X17">
      <f>X19+X20+X18</f>
    </nc>
    <odxf>
      <font>
        <b val="0"/>
        <sz val="12"/>
        <color auto="1"/>
        <name val="Times New Roman"/>
        <scheme val="none"/>
      </font>
      <protection locked="0"/>
    </odxf>
    <ndxf>
      <font>
        <b/>
        <sz val="12"/>
        <color auto="1"/>
        <name val="Times New Roman"/>
        <scheme val="none"/>
      </font>
      <protection locked="1"/>
    </ndxf>
  </rcc>
  <rcc rId="1686" sId="3" odxf="1" dxf="1">
    <nc r="Y17">
      <f>Y19+Y20+Y18</f>
    </nc>
    <odxf>
      <font>
        <b val="0"/>
        <sz val="12"/>
        <color auto="1"/>
        <name val="Times New Roman"/>
        <scheme val="none"/>
      </font>
      <protection locked="0"/>
    </odxf>
    <ndxf>
      <font>
        <b/>
        <sz val="12"/>
        <color auto="1"/>
        <name val="Times New Roman"/>
        <scheme val="none"/>
      </font>
      <protection locked="1"/>
    </ndxf>
  </rcc>
  <rcc rId="1687" sId="3" odxf="1" dxf="1">
    <nc r="Z17">
      <f>Z19+Z20+Z18</f>
    </nc>
    <odxf>
      <font>
        <b val="0"/>
        <sz val="12"/>
        <color auto="1"/>
        <name val="Times New Roman"/>
        <scheme val="none"/>
      </font>
      <protection locked="0"/>
    </odxf>
    <ndxf>
      <font>
        <b/>
        <sz val="12"/>
        <color auto="1"/>
        <name val="Times New Roman"/>
        <scheme val="none"/>
      </font>
      <protection locked="1"/>
    </ndxf>
  </rcc>
  <rcc rId="1688" sId="3" odxf="1" dxf="1">
    <nc r="AA17">
      <f>AA19+AA20+AA18</f>
    </nc>
    <odxf>
      <font>
        <b val="0"/>
        <sz val="12"/>
        <color auto="1"/>
        <name val="Times New Roman"/>
        <scheme val="none"/>
      </font>
      <protection locked="0"/>
    </odxf>
    <ndxf>
      <font>
        <b/>
        <sz val="12"/>
        <color auto="1"/>
        <name val="Times New Roman"/>
        <scheme val="none"/>
      </font>
      <protection locked="1"/>
    </ndxf>
  </rcc>
  <rfmt sheetId="3" sqref="AB17" start="0" length="0">
    <dxf>
      <font>
        <b/>
        <sz val="12"/>
        <color auto="1"/>
        <name val="Times New Roman"/>
        <scheme val="none"/>
      </font>
      <protection locked="1"/>
    </dxf>
  </rfmt>
  <rcc rId="1689" sId="3" odxf="1" dxf="1">
    <nc r="AC17">
      <f>AC19+AC20+AC18</f>
    </nc>
    <odxf>
      <font>
        <b val="0"/>
        <sz val="12"/>
        <color auto="1"/>
        <name val="Times New Roman"/>
        <scheme val="none"/>
      </font>
      <protection locked="0"/>
    </odxf>
    <ndxf>
      <font>
        <b/>
        <sz val="12"/>
        <color auto="1"/>
        <name val="Times New Roman"/>
        <scheme val="none"/>
      </font>
      <protection locked="1"/>
    </ndxf>
  </rcc>
  <rcc rId="1690" sId="3" odxf="1" dxf="1">
    <nc r="AD17">
      <f>AD19+AD20+AD18</f>
    </nc>
    <odxf>
      <font>
        <b val="0"/>
        <sz val="12"/>
        <color auto="1"/>
        <name val="Times New Roman"/>
        <scheme val="none"/>
      </font>
      <protection locked="0"/>
    </odxf>
    <ndxf>
      <font>
        <b/>
        <sz val="12"/>
        <color auto="1"/>
        <name val="Times New Roman"/>
        <scheme val="none"/>
      </font>
      <protection locked="1"/>
    </ndxf>
  </rcc>
  <rcc rId="1691" sId="3" odxf="1" dxf="1">
    <nc r="AE17">
      <f>AE19+AE20+AE18</f>
    </nc>
    <odxf>
      <font>
        <b val="0"/>
        <sz val="12"/>
        <color auto="1"/>
        <name val="Times New Roman"/>
        <scheme val="none"/>
      </font>
      <protection locked="0"/>
    </odxf>
    <ndxf>
      <font>
        <b/>
        <sz val="12"/>
        <color auto="1"/>
        <name val="Times New Roman"/>
        <scheme val="none"/>
      </font>
      <protection locked="1"/>
    </ndxf>
  </rcc>
  <rcc rId="1692" sId="3" odxf="1" dxf="1">
    <nc r="AF17">
      <f>AF19+AF20+AF18</f>
    </nc>
    <odxf>
      <font>
        <b val="0"/>
        <sz val="12"/>
        <color auto="1"/>
        <name val="Times New Roman"/>
        <scheme val="none"/>
      </font>
      <protection locked="0"/>
    </odxf>
    <ndxf>
      <font>
        <b/>
        <sz val="12"/>
        <color auto="1"/>
        <name val="Times New Roman"/>
        <scheme val="none"/>
      </font>
      <protection locked="1"/>
    </ndxf>
  </rcc>
  <rcc rId="1693" sId="3" odxf="1" dxf="1">
    <nc r="AG17">
      <f>AG19+AG20+AG18</f>
    </nc>
    <odxf>
      <font>
        <b val="0"/>
        <sz val="12"/>
        <color auto="1"/>
        <name val="Times New Roman"/>
        <scheme val="none"/>
      </font>
      <protection locked="0"/>
    </odxf>
    <ndxf>
      <font>
        <b/>
        <sz val="12"/>
        <color auto="1"/>
        <name val="Times New Roman"/>
        <scheme val="none"/>
      </font>
      <protection locked="1"/>
    </ndxf>
  </rcc>
  <rcc rId="1694" sId="3">
    <nc r="D18">
      <f>SUM(J18,L18,N18,P18,R18,T18,V18,X18,Z18,AB18,AD18,AF18)</f>
    </nc>
  </rcc>
  <rcc rId="1695" sId="3">
    <nc r="E18">
      <f>J18</f>
    </nc>
  </rcc>
  <rcc rId="1696" sId="3">
    <nc r="F18">
      <f>G18</f>
    </nc>
  </rcc>
  <rcc rId="1697" sId="3">
    <nc r="G18">
      <f>SUM(K18,M18,O18,Q18,S18,U18,W18,Y18,AA18,AC18,AE18,AG18)</f>
    </nc>
  </rcc>
  <rcc rId="1698" sId="3">
    <nc r="H18">
      <f>IFERROR(G18/D18*100,0)</f>
    </nc>
  </rcc>
  <rcc rId="1699" sId="3">
    <nc r="I18">
      <f>IFERROR(G18/E18*100,0)</f>
    </nc>
  </rcc>
  <rcc rId="1700" sId="3" odxf="1" dxf="1" numFmtId="4">
    <nc r="J18">
      <v>0</v>
    </nc>
    <odxf>
      <protection locked="0"/>
    </odxf>
    <ndxf>
      <protection locked="1"/>
    </ndxf>
  </rcc>
  <rcc rId="1701" sId="3" odxf="1" dxf="1" numFmtId="4">
    <nc r="K18">
      <v>0</v>
    </nc>
    <odxf>
      <protection locked="0"/>
    </odxf>
    <ndxf>
      <protection locked="1"/>
    </ndxf>
  </rcc>
  <rcc rId="1702" sId="3" odxf="1" dxf="1" numFmtId="4">
    <nc r="L18">
      <v>0</v>
    </nc>
    <odxf>
      <protection locked="0"/>
    </odxf>
    <ndxf>
      <protection locked="1"/>
    </ndxf>
  </rcc>
  <rcc rId="1703" sId="3" odxf="1" dxf="1" numFmtId="4">
    <nc r="M18">
      <v>0</v>
    </nc>
    <odxf>
      <protection locked="0"/>
    </odxf>
    <ndxf>
      <protection locked="1"/>
    </ndxf>
  </rcc>
  <rcc rId="1704" sId="3" odxf="1" dxf="1" numFmtId="4">
    <nc r="N18">
      <v>0</v>
    </nc>
    <odxf>
      <protection locked="0"/>
    </odxf>
    <ndxf>
      <protection locked="1"/>
    </ndxf>
  </rcc>
  <rcc rId="1705" sId="3" odxf="1" dxf="1" numFmtId="4">
    <nc r="O18">
      <v>0</v>
    </nc>
    <odxf>
      <protection locked="0"/>
    </odxf>
    <ndxf>
      <protection locked="1"/>
    </ndxf>
  </rcc>
  <rcc rId="1706" sId="3" odxf="1" dxf="1" numFmtId="4">
    <nc r="P18">
      <v>0</v>
    </nc>
    <odxf>
      <protection locked="0"/>
    </odxf>
    <ndxf>
      <protection locked="1"/>
    </ndxf>
  </rcc>
  <rcc rId="1707" sId="3" odxf="1" dxf="1" numFmtId="4">
    <nc r="Q18">
      <v>0</v>
    </nc>
    <odxf>
      <protection locked="0"/>
    </odxf>
    <ndxf>
      <protection locked="1"/>
    </ndxf>
  </rcc>
  <rcc rId="1708" sId="3" odxf="1" dxf="1" numFmtId="4">
    <nc r="R18">
      <v>0</v>
    </nc>
    <odxf>
      <protection locked="0"/>
    </odxf>
    <ndxf>
      <protection locked="1"/>
    </ndxf>
  </rcc>
  <rcc rId="1709" sId="3" odxf="1" dxf="1" numFmtId="4">
    <nc r="S18">
      <v>0</v>
    </nc>
    <odxf>
      <protection locked="0"/>
    </odxf>
    <ndxf>
      <protection locked="1"/>
    </ndxf>
  </rcc>
  <rcc rId="1710" sId="3" odxf="1" dxf="1" numFmtId="4">
    <nc r="T18">
      <v>0</v>
    </nc>
    <odxf>
      <protection locked="0"/>
    </odxf>
    <ndxf>
      <protection locked="1"/>
    </ndxf>
  </rcc>
  <rcc rId="1711" sId="3" odxf="1" dxf="1" numFmtId="4">
    <nc r="U18">
      <v>0</v>
    </nc>
    <odxf>
      <protection locked="0"/>
    </odxf>
    <ndxf>
      <protection locked="1"/>
    </ndxf>
  </rcc>
  <rcc rId="1712" sId="3" odxf="1" dxf="1" numFmtId="4">
    <nc r="V18">
      <v>0</v>
    </nc>
    <odxf>
      <protection locked="0"/>
    </odxf>
    <ndxf>
      <protection locked="1"/>
    </ndxf>
  </rcc>
  <rcc rId="1713" sId="3" odxf="1" dxf="1" numFmtId="4">
    <nc r="W18">
      <v>0</v>
    </nc>
    <odxf>
      <protection locked="0"/>
    </odxf>
    <ndxf>
      <protection locked="1"/>
    </ndxf>
  </rcc>
  <rcc rId="1714" sId="3" odxf="1" dxf="1" numFmtId="4">
    <nc r="X18">
      <v>0</v>
    </nc>
    <odxf>
      <protection locked="0"/>
    </odxf>
    <ndxf>
      <protection locked="1"/>
    </ndxf>
  </rcc>
  <rcc rId="1715" sId="3" odxf="1" dxf="1" numFmtId="4">
    <nc r="Y18">
      <v>0</v>
    </nc>
    <odxf>
      <protection locked="0"/>
    </odxf>
    <ndxf>
      <protection locked="1"/>
    </ndxf>
  </rcc>
  <rfmt sheetId="3" sqref="Z18" start="0" length="0">
    <dxf>
      <protection locked="1"/>
    </dxf>
  </rfmt>
  <rcc rId="1716" sId="3" odxf="1" dxf="1" numFmtId="4">
    <nc r="AA18">
      <v>0</v>
    </nc>
    <odxf>
      <protection locked="0"/>
    </odxf>
    <ndxf>
      <protection locked="1"/>
    </ndxf>
  </rcc>
  <rfmt sheetId="3" sqref="AB18" start="0" length="0">
    <dxf>
      <protection locked="1"/>
    </dxf>
  </rfmt>
  <rcc rId="1717" sId="3" odxf="1" dxf="1" numFmtId="4">
    <nc r="AC18">
      <v>0</v>
    </nc>
    <odxf>
      <protection locked="0"/>
    </odxf>
    <ndxf>
      <protection locked="1"/>
    </ndxf>
  </rcc>
  <rcc rId="1718" sId="3" odxf="1" dxf="1" numFmtId="4">
    <nc r="AD18">
      <v>0</v>
    </nc>
    <odxf>
      <protection locked="0"/>
    </odxf>
    <ndxf>
      <protection locked="1"/>
    </ndxf>
  </rcc>
  <rcc rId="1719" sId="3" odxf="1" dxf="1" numFmtId="4">
    <nc r="AE18">
      <v>0</v>
    </nc>
    <odxf>
      <protection locked="0"/>
    </odxf>
    <ndxf>
      <protection locked="1"/>
    </ndxf>
  </rcc>
  <rcc rId="1720" sId="3" odxf="1" dxf="1" numFmtId="4">
    <nc r="AF18">
      <v>0</v>
    </nc>
    <odxf>
      <protection locked="0"/>
    </odxf>
    <ndxf>
      <protection locked="1"/>
    </ndxf>
  </rcc>
  <rcc rId="1721" sId="3" odxf="1" dxf="1" numFmtId="4">
    <nc r="AG18">
      <v>0</v>
    </nc>
    <odxf>
      <protection locked="0"/>
    </odxf>
    <ndxf>
      <protection locked="1"/>
    </ndxf>
  </rcc>
  <rcc rId="1722" sId="3">
    <nc r="A17" t="inlineStr">
      <is>
        <t>ПК 1.1</t>
      </is>
    </nc>
  </rcc>
  <rcc rId="1723" sId="3">
    <nc r="B17" t="inlineStr">
      <is>
        <t>Муниципальный проект «Сквер вблизи СК «Олимп» в</t>
      </is>
    </nc>
  </rcc>
  <rcc rId="1724" sId="3">
    <nc r="C18" t="inlineStr">
      <is>
        <t>бюджет города Когалыма</t>
      </is>
    </nc>
  </rcc>
  <rcc rId="1725" sId="3" numFmtId="4">
    <nc r="Z18">
      <v>0</v>
    </nc>
  </rcc>
  <rfmt sheetId="3" s="1" sqref="AB18" start="0" length="0">
    <dxf>
      <font>
        <sz val="11"/>
        <color theme="1"/>
        <name val="Calibri"/>
        <scheme val="minor"/>
      </font>
      <numFmt numFmtId="0" formatCode="General"/>
      <alignment horizontal="general" vertical="bottom" readingOrder="0"/>
      <border outline="0">
        <left/>
        <right/>
        <top/>
        <bottom/>
      </border>
    </dxf>
  </rfmt>
  <rfmt sheetId="3" sqref="AB18" start="0" length="0">
    <dxf>
      <numFmt numFmtId="4" formatCode="#,##0.00"/>
    </dxf>
  </rfmt>
  <rfmt sheetId="3" xfDxf="1" sqref="AB18" start="0" length="0">
    <dxf>
      <numFmt numFmtId="4" formatCode="#,##0.00"/>
    </dxf>
  </rfmt>
  <rcc rId="1726" sId="3">
    <nc r="AB17">
      <f>AB18</f>
    </nc>
  </rcc>
  <rfmt sheetId="3" s="1" sqref="AB18" start="0" length="0">
    <dxf>
      <font>
        <sz val="12"/>
        <color auto="1"/>
        <name val="Times New Roman"/>
        <scheme val="none"/>
      </font>
      <numFmt numFmtId="166" formatCode="#,##0.00_ ;[Red]\-#,##0.00\ "/>
      <alignment horizontal="center" vertical="center" readingOrder="0"/>
      <border outline="0">
        <left style="thin">
          <color indexed="64"/>
        </left>
        <right style="thin">
          <color indexed="64"/>
        </right>
        <top style="thin">
          <color indexed="64"/>
        </top>
        <bottom style="thin">
          <color indexed="64"/>
        </bottom>
      </border>
    </dxf>
  </rfmt>
  <rcc rId="1727" sId="3" numFmtId="4">
    <nc r="AB18">
      <v>26168</v>
    </nc>
  </rcc>
  <rcc rId="1728" sId="3">
    <nc r="AH17" t="inlineStr">
      <is>
        <t>Ведется подготовка аукционной документации.</t>
      </is>
    </nc>
  </rcc>
  <rcc rId="1729" sId="3" numFmtId="4">
    <oc r="P16">
      <v>0</v>
    </oc>
    <nc r="P16">
      <v>87180</v>
    </nc>
  </rcc>
  <rcc rId="1730" sId="3" numFmtId="4">
    <oc r="Q16">
      <v>0</v>
    </oc>
    <nc r="Q16">
      <v>69300</v>
    </nc>
  </rcc>
  <rcc rId="1731" sId="3">
    <oc r="AH14" t="inlineStr">
      <is>
        <t>1.Муниципальный контракт № 0187300013724000198 от 30.09.2024 на выполнение работ по строительству объекта благоустройства "Парк Первопроходцев в городе Когалыме" (1 этап);
- цена контракта 377 990,18 тыс. руб. (из них 2024 год - 372 999,26 тыс.руб., 2025 год - 4 990,92 тыс.руб.) 
- сроки выполнения работ: I - этап 30.09.2024-02.12.2024; II - этап 15.05.2025-25.08.2025
2. Муниципальный контракт № 0187300013725000012 от 26.03.2025 на выполнение работ по благоустройству объекта "Парк Первопроходцев в городе Когалыме" (2 этап)
-цена контракта 298 000,00 тыс.руб.
- сроки вполнения работ: 25.08.2025 года.
- ведется выполнение работ
3. Договор № КГ-119.25 от 27.03.2025 на технологическое присоединение для электроснабжения объекта "Объект благоустройства "Парк Первопроходцев в городе Когалыме" (2,3 этап)" расположенного по адресу: Ханты-Мансийский АО - Югра, г. Когалым, ул. Дружбы Народов.
- цена договора 884,99 тыс.руб (авансирование 100% - оплата произведена 28.03.2025)
- выполнение технологического присоединения в течени 1 года с момента заключения договора.</t>
      </is>
    </oc>
    <nc r="AH14" t="inlineStr">
      <is>
        <t>1.Муниципальный контракт № 0187300013724000198 от 30.09.2024 на выполнение работ по строительству объекта 1.Муниципальный контракт № 0187300013724000198 от 30.09.2024 на выполнение работ по строительству объекта благоустройства "Парк Первопроходцев в городе Когалыме" (1 этап);
- цена контракта 377 990,18 тыс. руб. (из них 2024 год - 372 999,26 тыс.руб., 2025 год - 4 990,92 тыс.руб.) 
- сроки выполнения работ: I - этап 30.09.2024-02.12.2024; II - этап 15.05.2025-25.08.2025
2. Муниципальный контракт № 0187300013725000012 от 26.03.2025 на выполнение работ по благоустройству объекта "Парк Первопроходцев в городе Когалыме" (2 этап)
-цена контракта 298 000,00 тыс.руб.
- сроки вполнения работ: 25.08.2025 года.
- ведется выполнение работ
3. Договор № КГ-119.25 от 27.03.2025 на технологическое присоединение для электроснабжения объекта "Объект благоустройства "Парк Первопроходцев в городе Когалыме" (2,3 этап)" расположенного по адресу: Ханты-Мансийский АО - Югра, г. Когалым, ул. Дружбы Народов.
- цена договора 884,99 тыс.руб (авансирование 100% - оплата произведена 28.03.2025)
- выполнение технологического присоединения в течени 1 года с момента заключения договора.
4. Контракт № 1/Л от 01.04.2025 (функции заказчика переданы 03.04.2025) на выполнение работ по благоустройству объекта "Парк Первопроходцев в городе Когалыме" (3 этап)
- цена контракта 99 000 тыс.руб. ( выплачен аванс 70%)
- сроки выполнения работ: 25.08.2025</t>
      </is>
    </nc>
  </rcc>
  <rcc rId="1732" sId="3">
    <nc r="E17">
      <f>E18</f>
    </nc>
  </rcc>
  <rcc rId="1733" sId="3" numFmtId="4">
    <oc r="R14">
      <v>0</v>
    </oc>
    <nc r="R14">
      <v>70804.78</v>
    </nc>
  </rcc>
  <rcc rId="1734" sId="3" numFmtId="4">
    <oc r="R15">
      <v>0</v>
    </oc>
    <nc r="R15">
      <v>715.22</v>
    </nc>
  </rcc>
  <rcc rId="1735" sId="3" numFmtId="4">
    <oc r="R16">
      <v>0</v>
    </oc>
    <nc r="R16">
      <v>17880</v>
    </nc>
  </rcc>
  <rcc rId="1736" sId="3" numFmtId="4">
    <oc r="Z14">
      <v>103776.4</v>
    </oc>
    <nc r="Z14">
      <v>32971.620000000003</v>
    </nc>
  </rcc>
  <rcc rId="1737" sId="3" numFmtId="4">
    <oc r="Z16">
      <v>290520.12800000003</v>
    </oc>
    <nc r="Z16">
      <v>290511.05</v>
    </nc>
  </rcc>
  <rcc rId="1738" sId="3" numFmtId="4">
    <oc r="AB15">
      <v>73319.399999999994</v>
    </oc>
    <nc r="AB15">
      <v>72604.179999999993</v>
    </nc>
  </rcc>
  <rcc rId="1739" sId="3" numFmtId="4">
    <oc r="AB16">
      <v>353032.71</v>
    </oc>
    <nc r="AB16">
      <v>188364.99</v>
    </nc>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40" sId="3">
    <oc r="D11">
      <f>J11+L11+N11+P11+R11+T11+V11+X11+Z11+AB11+AD11+AF11</f>
    </oc>
    <nc r="D11">
      <f>J11+L11+N11+P11+R11+T11+V11+X11+Z11+AB11+AD11+AF11</f>
    </nc>
  </rcc>
  <rcc rId="1741" sId="3">
    <oc r="J11">
      <f>J16+J20+J22+J26</f>
    </oc>
    <nc r="J11">
      <f>J16+J20+J22+J26+J18</f>
    </nc>
  </rcc>
  <rcc rId="1742" sId="3">
    <oc r="K11">
      <f>K16+K20+K22+K26</f>
    </oc>
    <nc r="K11">
      <f>K16+K20+K22+K26+K18</f>
    </nc>
  </rcc>
  <rcc rId="1743" sId="3">
    <oc r="L11">
      <f>L16+L20+L22+L26</f>
    </oc>
    <nc r="L11">
      <f>L16+L20+L22+L26+L18</f>
    </nc>
  </rcc>
  <rcc rId="1744" sId="3">
    <oc r="M11">
      <f>M16+M20+M22+M26</f>
    </oc>
    <nc r="M11">
      <f>M16+M20+M22+M26+M18</f>
    </nc>
  </rcc>
  <rcc rId="1745" sId="3">
    <oc r="N11">
      <f>N16+N20+N22+N26</f>
    </oc>
    <nc r="N11">
      <f>N16+N20+N22+N26+N18</f>
    </nc>
  </rcc>
  <rcc rId="1746" sId="3">
    <oc r="O11">
      <f>O16+O20+O22+O26</f>
    </oc>
    <nc r="O11">
      <f>O16+O20+O22+O26+O18</f>
    </nc>
  </rcc>
  <rcc rId="1747" sId="3">
    <oc r="P11">
      <f>P16+P20+P22+P26</f>
    </oc>
    <nc r="P11">
      <f>P16+P20+P22+P26+P18</f>
    </nc>
  </rcc>
  <rcc rId="1748" sId="3">
    <oc r="Q11">
      <f>Q16+Q20+Q22+Q26</f>
    </oc>
    <nc r="Q11">
      <f>Q16+Q20+Q22+Q26+Q18</f>
    </nc>
  </rcc>
  <rcc rId="1749" sId="3">
    <oc r="R11">
      <f>R16+R20+R22+R26</f>
    </oc>
    <nc r="R11">
      <f>R16+R20+R22+R26+R18</f>
    </nc>
  </rcc>
  <rcc rId="1750" sId="3">
    <oc r="S11">
      <f>S16+S20+S22+S26</f>
    </oc>
    <nc r="S11">
      <f>S16+S20+S22+S26+S18</f>
    </nc>
  </rcc>
  <rcc rId="1751" sId="3">
    <oc r="T11">
      <f>T16+T20+T22+T26</f>
    </oc>
    <nc r="T11">
      <f>T16+T20+T22+T26+T18</f>
    </nc>
  </rcc>
  <rcc rId="1752" sId="3">
    <oc r="U11">
      <f>U16+U20+U22+U26</f>
    </oc>
    <nc r="U11">
      <f>U16+U20+U22+U26+U18</f>
    </nc>
  </rcc>
  <rcc rId="1753" sId="3">
    <oc r="V11">
      <f>V16+V20+V22+V26</f>
    </oc>
    <nc r="V11">
      <f>V16+V20+V22+V26+V18</f>
    </nc>
  </rcc>
  <rcc rId="1754" sId="3">
    <oc r="W11">
      <f>W16+W20+W22+W26</f>
    </oc>
    <nc r="W11">
      <f>W16+W20+W22+W26+W18</f>
    </nc>
  </rcc>
  <rcc rId="1755" sId="3">
    <oc r="X11">
      <f>X16+X20+X22+X26</f>
    </oc>
    <nc r="X11">
      <f>X16+X20+X22+X26+X18</f>
    </nc>
  </rcc>
  <rcc rId="1756" sId="3">
    <oc r="Y11">
      <f>Y16+Y20+Y22+Y26</f>
    </oc>
    <nc r="Y11">
      <f>Y16+Y20+Y22+Y26+Y18</f>
    </nc>
  </rcc>
  <rcc rId="1757" sId="3">
    <oc r="Z11">
      <f>Z16+Z20+Z22+Z26</f>
    </oc>
    <nc r="Z11">
      <f>Z16+Z20+Z22+Z26+Z18</f>
    </nc>
  </rcc>
  <rcc rId="1758" sId="3">
    <oc r="AA11">
      <f>AA16+AA20+AA22+AA26</f>
    </oc>
    <nc r="AA11">
      <f>AA16+AA20+AA22+AA26+AA18</f>
    </nc>
  </rcc>
  <rcc rId="1759" sId="3">
    <oc r="AB11">
      <f>AB16+AB20+AB22+AB26</f>
    </oc>
    <nc r="AB11">
      <f>AB16+AB20+AB22+AB26+AB18</f>
    </nc>
  </rcc>
  <rcc rId="1760" sId="3">
    <oc r="AC11">
      <f>AC16+AC20+AC22+AC26</f>
    </oc>
    <nc r="AC11">
      <f>AC16+AC20+AC22+AC26+AC18</f>
    </nc>
  </rcc>
  <rcc rId="1761" sId="3">
    <oc r="AD11">
      <f>AD16+AD20+AD22+AD26</f>
    </oc>
    <nc r="AD11">
      <f>AD16+AD20+AD22+AD26+AD18</f>
    </nc>
  </rcc>
  <rcc rId="1762" sId="3">
    <oc r="AE11">
      <f>AE16+AE20+AE22+AE26</f>
    </oc>
    <nc r="AE11">
      <f>AE16+AE20+AE22+AE26+AE18</f>
    </nc>
  </rcc>
  <rcc rId="1763" sId="3">
    <oc r="AF11">
      <f>AF16+AF20+AF22+AF26</f>
    </oc>
    <nc r="AF11">
      <f>AF16+AF20+AF22+AF26+AF18</f>
    </nc>
  </rcc>
  <rcc rId="1764" sId="3">
    <oc r="AG11">
      <f>AG16+AG20+AG22+AG26</f>
    </oc>
    <nc r="AG11">
      <f>AG16+AG20+AG22+AG26+AG18</f>
    </nc>
  </rcc>
  <rcc rId="1765" sId="3">
    <oc r="B21" t="inlineStr">
      <is>
        <t>Комплекс процессных мероприятий «Благоустройство общественных территорий в городе Когалыме» / Выполнение работ по благоустройству общественных территорий «Этностойбище коренных народов ХМАО-Югры «Вонт – Корт» (лесное стойбище) в городе Когалыме</t>
      </is>
    </oc>
    <nc r="B21" t="inlineStr">
      <is>
        <t xml:space="preserve">Комплекс процессных мероприятий «Участие объектов благоустройства в конкурсных
мероприятиях» </t>
      </is>
    </nc>
  </rcc>
  <rcc rId="1766" sId="3">
    <oc r="B19" t="inlineStr">
      <is>
        <t>Комплекс процессных мероприятий «Благоустройство дворовых территорий в городе Когалыме» / Выполнение работ по благоустройству дворовых территорий</t>
      </is>
    </oc>
    <nc r="B19" t="inlineStr">
      <is>
        <t>Комплекс процессных мероприятий «Благоустройство городских территорий в городе
Когалыме»/ Оформление улиц города Когалыма к Юбилею (установка памятников, скамеек и малых
архитектурных форм)/Выполнение работ по благоустройству дворовых территорий/
Выполнение работ по благоустройству общественных территорий «Этностойбище коренных народов ХМАО-Югры «Вонт – Корт» (лесное стойбище) в городе Когалыме/ Выполнение работ по благоустройству общественных пространств (ремонт тротуаров, перенос
рекламной конструкции, ремонт объекта «Архитектурная композиция «Жемчужина»)</t>
      </is>
    </nc>
  </rcc>
  <rcc rId="1767" sId="3" numFmtId="4">
    <oc r="Z22">
      <v>3540</v>
    </oc>
    <nc r="Z22">
      <v>0</v>
    </nc>
  </rcc>
  <rcc rId="1768" sId="3" numFmtId="4">
    <oc r="AB22">
      <v>32504</v>
    </oc>
    <nc r="AB22">
      <v>15000</v>
    </nc>
  </rcc>
  <rcc rId="1769" sId="3" numFmtId="4">
    <oc r="P20">
      <v>0</v>
    </oc>
    <nc r="P20">
      <v>990</v>
    </nc>
  </rcc>
  <rcc rId="1770" sId="3" numFmtId="4">
    <oc r="Q20">
      <v>0</v>
    </oc>
    <nc r="Q20">
      <v>990</v>
    </nc>
  </rcc>
  <rcc rId="1771" sId="3" numFmtId="4">
    <oc r="Z20">
      <v>0</v>
    </oc>
    <nc r="Z20">
      <v>2550</v>
    </nc>
  </rcc>
  <rcc rId="1772" sId="3" numFmtId="4">
    <oc r="AB20">
      <v>16000</v>
    </oc>
    <nc r="AB20">
      <v>65952.800000000003</v>
    </nc>
  </rcc>
  <rcc rId="1773" sId="3">
    <oc r="AH14" t="inlineStr">
      <is>
        <t>1.Муниципальный контракт № 0187300013724000198 от 30.09.2024 на выполнение работ по строительству объекта 1.Муниципальный контракт № 0187300013724000198 от 30.09.2024 на выполнение работ по строительству объекта благоустройства "Парк Первопроходцев в городе Когалыме" (1 этап);
- цена контракта 377 990,18 тыс. руб. (из них 2024 год - 372 999,26 тыс.руб., 2025 год - 4 990,92 тыс.руб.) 
- сроки выполнения работ: I - этап 30.09.2024-02.12.2024; II - этап 15.05.2025-25.08.2025
2. Муниципальный контракт № 0187300013725000012 от 26.03.2025 на выполнение работ по благоустройству объекта "Парк Первопроходцев в городе Когалыме" (2 этап)
-цена контракта 298 000,00 тыс.руб.
- сроки вполнения работ: 25.08.2025 года.
- ведется выполнение работ
3. Договор № КГ-119.25 от 27.03.2025 на технологическое присоединение для электроснабжения объекта "Объект благоустройства "Парк Первопроходцев в городе Когалыме" (2,3 этап)" расположенного по адресу: Ханты-Мансийский АО - Югра, г. Когалым, ул. Дружбы Народов.
- цена договора 884,99 тыс.руб (авансирование 100% - оплата произведена 28.03.2025)
- выполнение технологического присоединения в течени 1 года с момента заключения договора.
4. Контракт № 1/Л от 01.04.2025 (функции заказчика переданы 03.04.2025) на выполнение работ по благоустройству объекта "Парк Первопроходцев в городе Когалыме" (3 этап)
- цена контракта 99 000 тыс.руб. ( выплачен аванс 70%)
- сроки выполнения работ: 25.08.2025</t>
      </is>
    </oc>
    <nc r="AH14" t="inlineStr">
      <is>
        <t>1.Муниципальный контракт № 0187300013724000198 от 30.09.2024 на выполнение работ по строительству объекта благоустройства "Парк Первопроходцев в городе Когалыме" (1 этап);
- цена контракта 377 990,18 тыс. руб. (из них 2024 год - 372 999,26 тыс.руб., 2025 год - 4 990,92 тыс.руб.) 
- сроки выполнения работ: I - этап 30.09.2024-02.12.2024; II - этап 15.05.2025-25.08.2025
2. Муниципальный контракт № 0187300013725000012 от 26.03.2025 на выполнение работ по благоустройству объекта "Парк Первопроходцев в городе Когалыме" (2 этап)
-цена контракта 298 000,00 тыс.руб.
- сроки вполнения работ: 25.08.2025 года.
- ведется выполнение работ
3. Договор № КГ-119.25 от 27.03.2025 на технологическое присоединение для электроснабжения объекта "Объект благоустройства "Парк Первопроходцев в городе Когалыме" (2,3 этап)" расположенного по адресу: Ханты-Мансийский АО - Югра, г. Когалым, ул. Дружбы Народов.
- цена договора 884,99 тыс.руб (авансирование 100% - оплата произведена 28.03.2025)
- выполнение технологического присоединения в течени 1 года с момента заключения договора.
4. Контракт № 1/Л от 01.04.2025 (функции заказчика переданы 03.04.2025) на выполнение работ по благоустройству объекта "Парк Первопроходцев в городе Когалыме" (3 этап)
- цена контракта 99 000 тыс.руб. ( выплачен аванс 70%)
- сроки выполнения работ: 25.08.2025                          5. Муниципальный контракт № 0187300013725000024 от 26.03.2025 на выполнение работ по благоустройству объекта "Экотропа в городе Когалыме"
- цена контракта: 89 000,00 тыс.руб.
- сроки выполнения работ: 15.08.2025 г.</t>
      </is>
    </nc>
  </rcc>
  <rcc rId="1774" sId="3" odxf="1" dxf="1">
    <nc r="AH19" t="inlineStr">
      <is>
        <t>1.Муниципальный контракт № 0387300043825000001 от 18.02.2025 на выполнение работ по устройству этнических сооружений на объекте благоустройства «Этностойбище коренных народов ХМАО-Югры «Вонт-Корт» (лесное стойбище) в г. Когалыме»
- цена контракта 990,0 тыс. руб. 
- сроки выполнения работ: 31.03.2025 год.
2. Муниципальный контракт № 0387300043825000003 от 04.04.2025 на выполнение работ по устройству этнических сооружений на объекте благоустройства «Этностойбище коренных народов ХМАО-Югры «Вонт-Корт» (лесное стойбище) в г. Когалыме»
- цена контракта 976,00 тыс.руб
- срок выполнения работ: 11.06.2025.</t>
      </is>
    </nc>
    <odxf>
      <font>
        <b/>
        <sz val="12"/>
        <color auto="1"/>
        <name val="Times New Roman"/>
        <scheme val="none"/>
      </font>
    </odxf>
    <ndxf>
      <font>
        <b val="0"/>
        <sz val="12"/>
        <color auto="1"/>
        <name val="Times New Roman"/>
        <scheme val="none"/>
      </font>
    </ndxf>
  </rcc>
  <rfmt sheetId="3" sqref="AH19" start="0" length="2147483647">
    <dxf>
      <font>
        <sz val="11"/>
      </font>
    </dxf>
  </rfmt>
  <rfmt sheetId="3" sqref="AH17" start="0" length="2147483647">
    <dxf>
      <font>
        <sz val="11"/>
      </font>
    </dxf>
  </rfmt>
  <rcc rId="1775" sId="3">
    <oc r="B17" t="inlineStr">
      <is>
        <t>Муниципальный проект «Сквер вблизи СК «Олимп» в</t>
      </is>
    </oc>
    <nc r="B17" t="inlineStr">
      <is>
        <t xml:space="preserve">Муниципальный проект «Сквер вблизи СК «Олимп» </t>
      </is>
    </nc>
  </rcc>
  <rcc rId="1776" sId="3">
    <oc r="E20">
      <f>J20+L20+N20</f>
    </oc>
    <nc r="E20">
      <f>J20+L20+N20+P20</f>
    </nc>
  </rcc>
  <rcc rId="1777" sId="3">
    <oc r="D17">
      <f>D19+D20+D18</f>
    </oc>
    <nc r="D17">
      <f>D18</f>
    </nc>
  </rcc>
  <rcc rId="1778" sId="3">
    <oc r="E18">
      <f>J18</f>
    </oc>
    <nc r="E18">
      <f>J18+L18+N18+P18</f>
    </nc>
  </rcc>
  <rcc rId="1779" sId="3">
    <oc r="F18">
      <f>G18</f>
    </oc>
    <nc r="F18">
      <f>G18</f>
    </nc>
  </rcc>
  <rcc rId="1780" sId="3">
    <oc r="G18">
      <f>SUM(K18,M18,O18,Q18,S18,U18,W18,Y18,AA18,AC18,AE18,AG18)</f>
    </oc>
    <nc r="G18">
      <f>SUM(K18,M18,O18,Q18,S18,U18,W18,Y18,AA18,AC18,AE18,AG18)</f>
    </nc>
  </rcc>
  <rcc rId="1781" sId="3">
    <oc r="I18">
      <f>IFERROR(G18/E18*100,0)</f>
    </oc>
    <nc r="I18">
      <f>IFERROR(G18/E18*100,0)</f>
    </nc>
  </rcc>
  <rcc rId="1782" sId="3">
    <oc r="H18">
      <f>IFERROR(G18/D18*100,0)</f>
    </oc>
    <nc r="H18">
      <f>IFERROR(G18/D18*100,0)</f>
    </nc>
  </rcc>
  <rfmt sheetId="3" sqref="AH19" start="0" length="2147483647">
    <dxf>
      <font>
        <sz val="10"/>
      </font>
    </dxf>
  </rfmt>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83" sId="1" numFmtId="19">
    <oc r="E6">
      <v>45748</v>
    </oc>
    <nc r="E6">
      <v>45778</v>
    </nc>
  </rcc>
  <rcc rId="1784" sId="1" numFmtId="19">
    <oc r="F6">
      <v>45748</v>
    </oc>
    <nc r="F6">
      <v>45778</v>
    </nc>
  </rcc>
  <rcc rId="1785" sId="1" numFmtId="19">
    <oc r="G6">
      <v>45748</v>
    </oc>
    <nc r="G6">
      <v>45778</v>
    </nc>
  </rcc>
  <rcc rId="1786" sId="1" numFmtId="4">
    <oc r="N18">
      <v>2525.84</v>
    </oc>
    <nc r="N18">
      <v>1386.96</v>
    </nc>
  </rcc>
  <rcc rId="1787" sId="1" numFmtId="4">
    <oc r="P18">
      <v>1518.5060000000001</v>
    </oc>
    <nc r="P18">
      <v>1888.12</v>
    </nc>
  </rcc>
  <rcc rId="1788" sId="1" numFmtId="4">
    <oc r="Q18">
      <v>0</v>
    </oc>
    <nc r="Q18">
      <v>1821.85</v>
    </nc>
  </rcc>
  <rcc rId="1789" sId="1" numFmtId="4">
    <oc r="R18">
      <v>2029.68</v>
    </oc>
    <nc r="R18">
      <v>2798.94</v>
    </nc>
  </rcc>
  <rcc rId="1790" sId="1" numFmtId="4">
    <oc r="AF18">
      <v>103050.72</v>
    </oc>
    <nc r="AF18">
      <v>103050.73</v>
    </nc>
  </rcc>
  <rcc rId="1791" sId="1">
    <oc r="I18">
      <f>IFERROR(G18/E18*100,0)</f>
    </oc>
    <nc r="I18">
      <f>IFERROR(G18/E18*100,0)</f>
    </nc>
  </rcc>
  <rcc rId="1792" sId="1">
    <oc r="E15">
      <f>J15+L15+N15</f>
    </oc>
    <nc r="E15">
      <f>J15+L15+N15+P15</f>
    </nc>
  </rcc>
  <rcc rId="1793" sId="1">
    <oc r="E16">
      <f>J16+L16+N16</f>
    </oc>
    <nc r="E16">
      <f>J16+L16+N16+P16</f>
    </nc>
  </rcc>
  <rcc rId="1794" sId="1">
    <oc r="E17">
      <f>J17+L17+N17</f>
    </oc>
    <nc r="E17">
      <f>J17+L17+N17+P17</f>
    </nc>
  </rcc>
  <rcc rId="1795" sId="1">
    <oc r="E18">
      <f>J18+L18+N18</f>
    </oc>
    <nc r="E18">
      <f>J18+L18+N18+P18</f>
    </nc>
  </rcc>
  <rcc rId="1796" sId="1" numFmtId="4">
    <oc r="N16">
      <v>18222.63</v>
    </oc>
    <nc r="N16">
      <v>12482.68</v>
    </nc>
  </rcc>
  <rcc rId="1797" sId="1" numFmtId="4">
    <oc r="P16">
      <v>7653.2730000000001</v>
    </oc>
    <nc r="P16">
      <v>16993.11</v>
    </nc>
  </rcc>
  <rcc rId="1798" sId="1" numFmtId="4">
    <oc r="Q16">
      <v>0</v>
    </oc>
    <nc r="Q16">
      <v>16396.66</v>
    </nc>
  </rcc>
  <rcc rId="1799" sId="1" numFmtId="4">
    <oc r="R16">
      <v>17706.53</v>
    </oc>
    <nc r="R16">
      <v>14106.65</v>
    </nc>
  </rcc>
  <rcc rId="1800" sId="1" numFmtId="4">
    <oc r="AF16">
      <v>758187.02300000004</v>
    </oc>
    <nc r="AF16">
      <v>758187.01</v>
    </nc>
  </rcc>
  <rcv guid="{996EC2F0-F6EC-4E63-A83E-34865157BD8D}" action="delete"/>
  <rdn rId="0" localSheetId="1" customView="1" name="Z_996EC2F0_F6EC_4E63_A83E_34865157BD8D_.wvu.Rows" hidden="1" oldHidden="1">
    <formula>'1. РО'!$28:$28,'1. РО'!$32:$32,'1. РО'!$52:$52,'1. РО'!$71:$71,'1. РО'!$75:$75</formula>
    <oldFormula>'1. РО'!$28:$28,'1. РО'!$32:$32,'1. РО'!$52:$52,'1. РО'!$71:$71,'1. РО'!$75:$75</oldFormula>
  </rdn>
  <rdn rId="0" localSheetId="4" customView="1" name="Z_996EC2F0_F6EC_4E63_A83E_34865157BD8D_.wvu.Rows" hidden="1" oldHidden="1">
    <formula>'4. КП'!$23:$23,'4. КП'!$27:$27,'4. КП'!$68:$68,'4. КП'!$75:$75,'4. КП'!$83:$83,'4. КП'!$87:$88,'4. КП'!$91:$91,'4. КП'!$93:$93</formula>
    <oldFormula>'4. КП'!$23:$23,'4. КП'!$27:$27,'4. КП'!$68:$68,'4. КП'!$75:$75,'4. КП'!$83:$83,'4. КП'!$87:$88,'4. КП'!$91:$91,'4. КП'!$93:$93</oldFormula>
  </rdn>
  <rdn rId="0" localSheetId="5" customView="1" name="Z_996EC2F0_F6EC_4E63_A83E_34865157BD8D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996EC2F0_F6EC_4E63_A83E_34865157BD8D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996EC2F0_F6EC_4E63_A83E_34865157BD8D_.wvu.Rows" hidden="1" oldHidden="1">
    <formula>'9. РЖКК'!$14:$14,'9. РЖКК'!$28:$28</formula>
    <oldFormula>'9. РЖКК'!$14:$14,'9. РЖКК'!$28:$28</oldFormula>
  </rdn>
  <rdn rId="0" localSheetId="14" customView="1" name="Z_996EC2F0_F6EC_4E63_A83E_34865157BD8D_.wvu.Rows" hidden="1" oldHidden="1">
    <formula>'14. РТС'!$14:$15,'14. РТС'!$19:$19,'14. РТС'!$30:$30,'14. РТС'!$33:$33,'14. РТС'!$36:$36,'14. РТС'!$43:$43</formula>
    <oldFormula>'14. РТС'!$14:$15,'14. РТС'!$19:$19,'14. РТС'!$30:$30,'14. РТС'!$33:$33,'14. РТС'!$36:$36,'14. РТС'!$43:$43</oldFormula>
  </rdn>
  <rdn rId="0" localSheetId="20" customView="1" name="Z_996EC2F0_F6EC_4E63_A83E_34865157BD8D_.wvu.Rows" hidden="1" oldHidden="1">
    <formula>'20. МСП'!$19:$19</formula>
    <oldFormula>'20. МСП'!$19:$19</oldFormula>
  </rdn>
  <rcv guid="{996EC2F0-F6EC-4E63-A83E-34865157BD8D}" action="add"/>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08" sId="1">
    <oc r="E24">
      <f>J24+L24+N24</f>
    </oc>
    <nc r="E24">
      <f>J24+L24+N24+P24</f>
    </nc>
  </rcc>
  <rcc rId="1809" sId="1">
    <oc r="E25">
      <f>J25+L25+N25</f>
    </oc>
    <nc r="E25">
      <f>J25+L25+N25+P25</f>
    </nc>
  </rcc>
  <rcc rId="1810" sId="1">
    <oc r="E26">
      <f>J26+L26+N26</f>
    </oc>
    <nc r="E26">
      <f>J26+L26+N26+P26</f>
    </nc>
  </rcc>
  <rcc rId="1811" sId="1" numFmtId="4">
    <oc r="Q25">
      <v>0</v>
    </oc>
    <nc r="Q25">
      <v>11.93</v>
    </nc>
  </rcc>
  <rcc rId="1812" sId="1" numFmtId="4">
    <oc r="Q24">
      <v>0</v>
    </oc>
    <nc r="Q24">
      <v>7.63</v>
    </nc>
  </rcc>
  <rcc rId="1813" sId="1" numFmtId="4">
    <oc r="Q26">
      <v>0</v>
    </oc>
    <nc r="Q26">
      <v>0.21</v>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94" sId="5" numFmtId="4">
    <oc r="N33">
      <v>4659.72</v>
    </oc>
    <nc r="N33">
      <v>5374.1049999999996</v>
    </nc>
  </rcc>
  <rcc rId="1395" sId="5" numFmtId="4">
    <oc r="T33">
      <v>8.84</v>
    </oc>
    <nc r="T33">
      <v>1105.4549999999999</v>
    </nc>
  </rcc>
  <rcc rId="1396" sId="5" numFmtId="4">
    <oc r="AB33">
      <v>4597.82</v>
    </oc>
    <nc r="AB33">
      <v>4189.268</v>
    </nc>
  </rcc>
  <rcc rId="1397" sId="5" numFmtId="4">
    <oc r="P33">
      <v>4274.58</v>
    </oc>
    <nc r="P33">
      <v>3560.194</v>
    </nc>
  </rcc>
  <rcc rId="1398" sId="5" numFmtId="4">
    <oc r="AD33">
      <v>4597.82</v>
    </oc>
    <nc r="AD33">
      <v>3909.7559999999999</v>
    </nc>
  </rcc>
  <rcc rId="1399" sId="5" numFmtId="4">
    <oc r="J32">
      <v>18031.330000000002</v>
    </oc>
    <nc r="J32">
      <f>18103.863+9992.46</f>
    </nc>
  </rcc>
  <rcc rId="1400" sId="5" numFmtId="4">
    <oc r="N32">
      <v>21066.936000000002</v>
    </oc>
    <nc r="N32">
      <f>14786.868+6352.602</f>
    </nc>
  </rcc>
  <rcc rId="1401" sId="5" numFmtId="4">
    <oc r="R32">
      <v>33269.781999999999</v>
    </oc>
    <nc r="R32">
      <f>21281.203+12061.111</f>
    </nc>
  </rcc>
  <rcc rId="1402" sId="5" numFmtId="4">
    <oc r="T32">
      <v>32351.752</v>
    </oc>
    <nc r="T32">
      <f>14173.817+18250.468</f>
    </nc>
  </rcc>
  <rcc rId="1403" sId="5" numFmtId="4">
    <oc r="V32">
      <v>22155.816999999999</v>
    </oc>
    <nc r="V32">
      <f>14405.061+7823.288</f>
    </nc>
  </rcc>
  <rcc rId="1404" sId="5" numFmtId="4">
    <oc r="AD32">
      <v>16368.959000000001</v>
    </oc>
    <nc r="AD32">
      <f>9433.743+7007.749</f>
    </nc>
  </rcc>
  <rcc rId="1405" sId="5" numFmtId="4">
    <oc r="AF32">
      <v>19471.544000000002</v>
    </oc>
    <nc r="AF32">
      <f>10376.512+9167.564</f>
    </nc>
  </rcc>
  <rcc rId="1406" sId="5">
    <oc r="L32">
      <v>25034.974999999999</v>
    </oc>
    <nc r="L32">
      <f>19335.834+5993.974</f>
    </nc>
  </rcc>
  <rcc rId="1407" sId="5">
    <oc r="P32">
      <v>23645.031999999999</v>
    </oc>
    <nc r="P32">
      <f>16299.542+7196.022</f>
    </nc>
  </rcc>
  <rcc rId="1408" sId="5">
    <oc r="X32">
      <v>17466.782999999999</v>
    </oc>
    <nc r="X32">
      <f>13860.501+3678.815</f>
    </nc>
  </rcc>
  <rcc rId="1409" sId="5">
    <oc r="Z32">
      <v>17426.800999999999</v>
    </oc>
    <nc r="Z32">
      <f>9913.031+7586.302</f>
    </nc>
  </rcc>
  <rcc rId="1410" sId="5">
    <oc r="AB32">
      <v>16946.629000000001</v>
    </oc>
    <nc r="AB32">
      <f>10650.361+6368.8</f>
    </nc>
  </rcc>
  <rcc rId="1411" sId="5" numFmtId="4">
    <oc r="J73">
      <v>2815.826</v>
    </oc>
    <nc r="J73">
      <v>2631.2460000000001</v>
    </nc>
  </rcc>
  <rcc rId="1412" sId="5" numFmtId="4">
    <oc r="T73">
      <v>1495.7950000000001</v>
    </oc>
    <nc r="T73">
      <v>1496.7940000000001</v>
    </nc>
  </rcc>
  <rcc rId="1413" sId="5" numFmtId="19">
    <oc r="E6">
      <v>45748</v>
    </oc>
    <nc r="E6">
      <v>45778</v>
    </nc>
  </rcc>
  <rcc rId="1414" sId="5" numFmtId="19">
    <oc r="F6">
      <v>45748</v>
    </oc>
    <nc r="F6">
      <v>45778</v>
    </nc>
  </rcc>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14" sId="1">
    <oc r="E29">
      <f>J29+L29+N29</f>
    </oc>
    <nc r="E29">
      <f>J29+L29+N29+P29</f>
    </nc>
  </rcc>
  <rcc rId="1815" sId="1" numFmtId="4">
    <oc r="Q29">
      <v>0</v>
    </oc>
    <nc r="Q29">
      <v>7708.8</v>
    </nc>
  </rcc>
  <rcc rId="1816" sId="1" numFmtId="4">
    <oc r="R29">
      <v>8983.7999999999993</v>
    </oc>
    <nc r="R29">
      <v>8983.8799999999992</v>
    </nc>
  </rcc>
  <rcc rId="1817" sId="1">
    <oc r="E31">
      <f>J31+L31+N31</f>
    </oc>
    <nc r="E31">
      <f>J31+L31+N31+P31</f>
    </nc>
  </rcc>
  <rcc rId="1818" sId="1" numFmtId="4">
    <oc r="Q31">
      <v>0</v>
    </oc>
    <nc r="Q31">
      <v>79.599999999999994</v>
    </nc>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19" sId="4" numFmtId="4">
    <oc r="M41">
      <v>6178.54</v>
    </oc>
    <nc r="M41">
      <v>6137.73</v>
    </nc>
  </rcc>
  <rcc rId="1820" sId="4" numFmtId="4">
    <oc r="O41">
      <v>5665.24</v>
    </oc>
    <nc r="O41">
      <v>5540.2</v>
    </nc>
  </rcc>
  <rcc rId="1821" sId="4" numFmtId="4">
    <oc r="Q41">
      <v>7376.73</v>
    </oc>
    <nc r="Q41">
      <v>7274.08</v>
    </nc>
  </rcc>
  <rcc rId="1822" sId="4" numFmtId="4">
    <oc r="K42">
      <v>178.02</v>
    </oc>
    <nc r="K42">
      <v>1</v>
    </nc>
  </rcc>
  <rcc rId="1823" sId="4" numFmtId="4">
    <oc r="M42">
      <v>0.64</v>
    </oc>
    <nc r="M42">
      <v>0.96</v>
    </nc>
  </rcc>
  <rcc rId="1824" sId="4" numFmtId="4">
    <oc r="Q42">
      <v>6.87</v>
    </oc>
    <nc r="Q42">
      <v>5.7</v>
    </nc>
  </rcc>
  <rcv guid="{2940A182-D1A7-43C5-8D6E-965BED4371B0}" action="delete"/>
  <rdn rId="0" localSheetId="1" customView="1" name="Z_2940A182_D1A7_43C5_8D6E_965BED4371B0_.wvu.Rows" hidden="1" oldHidden="1">
    <formula>'1. РО'!$28:$28,'1. РО'!$32:$32,'1. РО'!$52:$52,'1. РО'!$59:$59,'1. РО'!$71:$71,'1. РО'!$75:$75</formula>
    <oldFormula>'1. РО'!$28:$28,'1. РО'!$32:$32,'1. РО'!$52:$52,'1. РО'!$59:$59,'1. РО'!$71:$71,'1. РО'!$75:$75</oldFormula>
  </rdn>
  <rdn rId="0" localSheetId="4" customView="1" name="Z_2940A182_D1A7_43C5_8D6E_965BED4371B0_.wvu.Rows" hidden="1" oldHidden="1">
    <formula>'4. КП'!$23:$23,'4. КП'!$27:$27,'4. КП'!$68:$68,'4. КП'!$75:$75,'4. КП'!$83:$83,'4. КП'!$87:$88,'4. КП'!$91:$91,'4. КП'!$93:$93</formula>
    <oldFormula>'4. КП'!$23:$23,'4. КП'!$27:$27,'4. КП'!$68:$68,'4. КП'!$75:$75,'4. КП'!$83:$83,'4. КП'!$87:$88,'4. КП'!$91:$91,'4. КП'!$93:$93</oldFormula>
  </rdn>
  <rdn rId="0" localSheetId="5" customView="1" name="Z_2940A182_D1A7_43C5_8D6E_965BED4371B0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2940A182_D1A7_43C5_8D6E_965BED4371B0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2940A182_D1A7_43C5_8D6E_965BED4371B0_.wvu.Rows" hidden="1" oldHidden="1">
    <formula>'9. РЖКК'!$14:$14,'9. РЖКК'!$28:$28</formula>
    <oldFormula>'9. РЖКК'!$14:$14,'9. РЖКК'!$28:$28</oldFormula>
  </rdn>
  <rdn rId="0" localSheetId="14" customView="1" name="Z_2940A182_D1A7_43C5_8D6E_965BED4371B0_.wvu.Rows" hidden="1" oldHidden="1">
    <formula>'14. РТС'!$14:$15,'14. РТС'!$19:$19,'14. РТС'!$30:$30,'14. РТС'!$33:$33,'14. РТС'!$36:$36,'14. РТС'!$43:$43</formula>
    <oldFormula>'14. РТС'!$14:$15,'14. РТС'!$19:$19,'14. РТС'!$30:$30,'14. РТС'!$33:$33,'14. РТС'!$36:$36,'14. РТС'!$43:$43</oldFormula>
  </rdn>
  <rdn rId="0" localSheetId="20" customView="1" name="Z_2940A182_D1A7_43C5_8D6E_965BED4371B0_.wvu.Rows" hidden="1" oldHidden="1">
    <formula>'20. МСП'!$19:$19</formula>
    <oldFormula>'20. МСП'!$19:$19</oldFormula>
  </rdn>
  <rcv guid="{2940A182-D1A7-43C5-8D6E-965BED4371B0}" action="add"/>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32" sId="1">
    <oc r="E43">
      <f>J43+L43+N43</f>
    </oc>
    <nc r="E43">
      <f>J43+L43+N43+P43</f>
    </nc>
  </rcc>
  <rcc rId="1833" sId="1">
    <oc r="E44">
      <f>J44+L44+N44</f>
    </oc>
    <nc r="E44">
      <f>J44+L44+N44+P44</f>
    </nc>
  </rcc>
  <rcc rId="1834" sId="1">
    <oc r="E45">
      <f>J45+L45+N45</f>
    </oc>
    <nc r="E45">
      <f>J45+L45+N45+P45</f>
    </nc>
  </rcc>
  <rcc rId="1835" sId="1" numFmtId="4">
    <oc r="Q43">
      <v>0</v>
    </oc>
    <nc r="Q43">
      <v>51235.14</v>
    </nc>
  </rcc>
  <rcc rId="1836" sId="1" numFmtId="4">
    <oc r="AF43">
      <v>26784.398000000001</v>
    </oc>
    <nc r="AF43">
      <f>26784.398-2225.7</f>
    </nc>
  </rcc>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37" sId="1">
    <oc r="E45">
      <f>J45+L45+N45+P45</f>
    </oc>
    <nc r="E45">
      <f>J45+L45+N45+P45</f>
    </nc>
  </rcc>
  <rcc rId="1838" sId="1" numFmtId="4">
    <oc r="Q45">
      <v>0</v>
    </oc>
    <nc r="Q45">
      <v>10567.06</v>
    </nc>
  </rcc>
  <rcv guid="{996EC2F0-F6EC-4E63-A83E-34865157BD8D}" action="delete"/>
  <rdn rId="0" localSheetId="1" customView="1" name="Z_996EC2F0_F6EC_4E63_A83E_34865157BD8D_.wvu.Rows" hidden="1" oldHidden="1">
    <formula>'1. РО'!$28:$28,'1. РО'!$32:$32,'1. РО'!$52:$52,'1. РО'!$71:$71,'1. РО'!$75:$75</formula>
    <oldFormula>'1. РО'!$28:$28,'1. РО'!$32:$32,'1. РО'!$52:$52,'1. РО'!$71:$71,'1. РО'!$75:$75</oldFormula>
  </rdn>
  <rdn rId="0" localSheetId="4" customView="1" name="Z_996EC2F0_F6EC_4E63_A83E_34865157BD8D_.wvu.Rows" hidden="1" oldHidden="1">
    <formula>'4. КП'!$23:$23,'4. КП'!$27:$27,'4. КП'!$68:$68,'4. КП'!$75:$75,'4. КП'!$83:$83,'4. КП'!$87:$88,'4. КП'!$91:$91,'4. КП'!$93:$93</formula>
    <oldFormula>'4. КП'!$23:$23,'4. КП'!$27:$27,'4. КП'!$68:$68,'4. КП'!$75:$75,'4. КП'!$83:$83,'4. КП'!$87:$88,'4. КП'!$91:$91,'4. КП'!$93:$93</oldFormula>
  </rdn>
  <rdn rId="0" localSheetId="5" customView="1" name="Z_996EC2F0_F6EC_4E63_A83E_34865157BD8D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996EC2F0_F6EC_4E63_A83E_34865157BD8D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996EC2F0_F6EC_4E63_A83E_34865157BD8D_.wvu.Rows" hidden="1" oldHidden="1">
    <formula>'9. РЖКК'!$14:$14,'9. РЖКК'!$28:$28</formula>
    <oldFormula>'9. РЖКК'!$14:$14,'9. РЖКК'!$28:$28</oldFormula>
  </rdn>
  <rdn rId="0" localSheetId="14" customView="1" name="Z_996EC2F0_F6EC_4E63_A83E_34865157BD8D_.wvu.Rows" hidden="1" oldHidden="1">
    <formula>'14. РТС'!$14:$15,'14. РТС'!$19:$19,'14. РТС'!$30:$30,'14. РТС'!$33:$33,'14. РТС'!$36:$36,'14. РТС'!$43:$43</formula>
    <oldFormula>'14. РТС'!$14:$15,'14. РТС'!$19:$19,'14. РТС'!$30:$30,'14. РТС'!$33:$33,'14. РТС'!$36:$36,'14. РТС'!$43:$43</oldFormula>
  </rdn>
  <rdn rId="0" localSheetId="20" customView="1" name="Z_996EC2F0_F6EC_4E63_A83E_34865157BD8D_.wvu.Rows" hidden="1" oldHidden="1">
    <formula>'20. МСП'!$19:$19</formula>
    <oldFormula>'20. МСП'!$19:$19</oldFormula>
  </rdn>
  <rcv guid="{996EC2F0-F6EC-4E63-A83E-34865157BD8D}" action="add"/>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46" sId="1">
    <oc r="Q39">
      <f>Q47+Q49+Q51+Q54+Q56</f>
    </oc>
    <nc r="Q39">
      <f>Q47+Q49+Q51+Q54+Q56</f>
    </nc>
  </rcc>
  <rcc rId="1847" sId="1">
    <oc r="E47">
      <f>J47+L47+N47</f>
    </oc>
    <nc r="E47">
      <f>J47+L47+N47+P47</f>
    </nc>
  </rcc>
  <rcc rId="1848" sId="1" numFmtId="4">
    <oc r="Q47">
      <v>0</v>
    </oc>
    <nc r="Q47">
      <v>315359.42</v>
    </nc>
  </rcc>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49" sId="1">
    <oc r="E49">
      <f>J49+L49+N49</f>
    </oc>
    <nc r="E49">
      <f>J49+L49+N49+P49</f>
    </nc>
  </rcc>
  <rcc rId="1850" sId="1" numFmtId="4">
    <oc r="Q49">
      <v>0</v>
    </oc>
    <nc r="Q49">
      <v>10403.200000000001</v>
    </nc>
  </rcc>
  <rfmt sheetId="1" sqref="Q50">
    <dxf>
      <fill>
        <patternFill patternType="solid">
          <bgColor rgb="FFFFFF00"/>
        </patternFill>
      </fill>
    </dxf>
  </rfmt>
  <rfmt sheetId="1" sqref="Q50">
    <dxf>
      <fill>
        <patternFill patternType="none">
          <bgColor auto="1"/>
        </patternFill>
      </fill>
    </dxf>
  </rfmt>
  <rcc rId="1851" sId="1">
    <oc r="E51">
      <f>J51+L51+N51</f>
    </oc>
    <nc r="E51">
      <f>J51+L51+N51+P51</f>
    </nc>
  </rcc>
  <rcc rId="1852" sId="1" numFmtId="4">
    <oc r="Q51">
      <v>0</v>
    </oc>
    <nc r="Q51">
      <v>1076</v>
    </nc>
  </rcc>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3" sId="1">
    <oc r="E54">
      <f>J54+L54+N54</f>
    </oc>
    <nc r="E54">
      <f>J54+L54+N54+P54</f>
    </nc>
  </rcc>
  <rcc rId="1854" sId="1" numFmtId="4">
    <oc r="Q54">
      <v>0</v>
    </oc>
    <nc r="Q54">
      <v>5751.82</v>
    </nc>
  </rcc>
  <rcc rId="1855" sId="1" numFmtId="4">
    <oc r="P54">
      <v>0</v>
    </oc>
    <nc r="P54">
      <v>6300</v>
    </nc>
  </rcc>
  <rcc rId="1856" sId="1">
    <oc r="AF54">
      <f>46122.4-10000-5000</f>
    </oc>
    <nc r="AF54">
      <f>46122.4-10000-5000-6300</f>
    </nc>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7" sId="1">
    <oc r="E62">
      <f>J62+L62+N62</f>
    </oc>
    <nc r="E62">
      <f>J62+L62+N62+P62</f>
    </nc>
  </rcc>
  <rcc rId="1858" sId="1" numFmtId="4">
    <oc r="Q62">
      <v>0</v>
    </oc>
    <nc r="Q62">
      <v>40</v>
    </nc>
  </rcc>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9" sId="1">
    <oc r="E64">
      <f>J64+L64+N64</f>
    </oc>
    <nc r="E64">
      <f>J64+L64+N64+P64</f>
    </nc>
  </rcc>
  <rcc rId="1860" sId="1" numFmtId="4">
    <oc r="Q64">
      <v>0</v>
    </oc>
    <nc r="Q64">
      <v>18.09</v>
    </nc>
  </rcc>
  <rcc rId="1861" sId="1" numFmtId="4">
    <oc r="P64">
      <v>0</v>
    </oc>
    <nc r="P64">
      <v>18.09</v>
    </nc>
  </rcc>
  <rcc rId="1862" sId="1" numFmtId="4">
    <oc r="V64">
      <v>45</v>
    </oc>
    <nc r="V64">
      <f>45-18.09</f>
    </nc>
  </rcc>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63:B64">
    <dxf>
      <fill>
        <patternFill patternType="solid">
          <bgColor rgb="FFFFFF00"/>
        </patternFill>
      </fill>
    </dxf>
  </rfmt>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15" sId="5" numFmtId="4">
    <oc r="Q27">
      <v>0</v>
    </oc>
    <nc r="Q27">
      <v>18292.32</v>
    </nc>
  </rcc>
  <rcc rId="1416" sId="5" numFmtId="4">
    <oc r="Q32">
      <v>0</v>
    </oc>
    <nc r="Q32">
      <f>12114.04+7745.51</f>
    </nc>
  </rcc>
  <rcc rId="1417" sId="5" numFmtId="4">
    <oc r="Q37">
      <v>0</v>
    </oc>
    <nc r="Q37">
      <v>19.73</v>
    </nc>
  </rcc>
  <rcc rId="1418" sId="5" numFmtId="4">
    <oc r="Q47">
      <v>0</v>
    </oc>
    <nc r="Q47">
      <v>64.7</v>
    </nc>
  </rcc>
  <rcc rId="1419" sId="5" numFmtId="4">
    <oc r="Q68">
      <v>0</v>
    </oc>
    <nc r="Q68">
      <v>153.6</v>
    </nc>
  </rcc>
  <rcc rId="1420" sId="5" numFmtId="4">
    <oc r="Q72">
      <v>0</v>
    </oc>
    <nc r="Q72">
      <v>1197.6600000000001</v>
    </nc>
  </rcc>
  <rcc rId="1421" sId="5" numFmtId="4">
    <oc r="Q73">
      <v>0</v>
    </oc>
    <nc r="Q73">
      <f>1370.58+690.7</f>
    </nc>
  </rcc>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63:B64">
    <dxf>
      <fill>
        <patternFill patternType="none">
          <bgColor auto="1"/>
        </patternFill>
      </fill>
    </dxf>
  </rfmt>
  <rcc rId="1863" sId="1">
    <oc r="E66">
      <f>J66+L66+N66</f>
    </oc>
    <nc r="E66">
      <f>J66+L66+N66+P66</f>
    </nc>
  </rcc>
  <rcc rId="1864" sId="1">
    <oc r="E67">
      <f>J67+L67+N67</f>
    </oc>
    <nc r="E67">
      <f>J67+L67+N67+P67</f>
    </nc>
  </rcc>
  <rcc rId="1865" sId="1">
    <oc r="E68">
      <f>J68+L68+N68</f>
    </oc>
    <nc r="E68">
      <f>J68+L68+N68+P68</f>
    </nc>
  </rcc>
  <rcc rId="1866" sId="1" numFmtId="4">
    <oc r="Q68">
      <v>0</v>
    </oc>
    <nc r="Q68">
      <v>3898.23</v>
    </nc>
  </rcc>
  <rcv guid="{996EC2F0-F6EC-4E63-A83E-34865157BD8D}" action="delete"/>
  <rdn rId="0" localSheetId="1" customView="1" name="Z_996EC2F0_F6EC_4E63_A83E_34865157BD8D_.wvu.Rows" hidden="1" oldHidden="1">
    <formula>'1. РО'!$28:$28,'1. РО'!$32:$32,'1. РО'!$52:$52,'1. РО'!$71:$71,'1. РО'!$75:$75</formula>
    <oldFormula>'1. РО'!$28:$28,'1. РО'!$32:$32,'1. РО'!$52:$52,'1. РО'!$71:$71,'1. РО'!$75:$75</oldFormula>
  </rdn>
  <rdn rId="0" localSheetId="4" customView="1" name="Z_996EC2F0_F6EC_4E63_A83E_34865157BD8D_.wvu.Rows" hidden="1" oldHidden="1">
    <formula>'4. КП'!$23:$23,'4. КП'!$27:$27,'4. КП'!$68:$68,'4. КП'!$75:$75,'4. КП'!$83:$83,'4. КП'!$87:$88,'4. КП'!$91:$91,'4. КП'!$93:$93</formula>
    <oldFormula>'4. КП'!$23:$23,'4. КП'!$27:$27,'4. КП'!$68:$68,'4. КП'!$75:$75,'4. КП'!$83:$83,'4. КП'!$87:$88,'4. КП'!$91:$91,'4. КП'!$93:$93</oldFormula>
  </rdn>
  <rdn rId="0" localSheetId="5" customView="1" name="Z_996EC2F0_F6EC_4E63_A83E_34865157BD8D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996EC2F0_F6EC_4E63_A83E_34865157BD8D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996EC2F0_F6EC_4E63_A83E_34865157BD8D_.wvu.Rows" hidden="1" oldHidden="1">
    <formula>'9. РЖКК'!$14:$14,'9. РЖКК'!$28:$28</formula>
    <oldFormula>'9. РЖКК'!$14:$14,'9. РЖКК'!$28:$28</oldFormula>
  </rdn>
  <rdn rId="0" localSheetId="14" customView="1" name="Z_996EC2F0_F6EC_4E63_A83E_34865157BD8D_.wvu.Rows" hidden="1" oldHidden="1">
    <formula>'14. РТС'!$14:$15,'14. РТС'!$19:$19,'14. РТС'!$30:$30,'14. РТС'!$33:$33,'14. РТС'!$36:$36,'14. РТС'!$43:$43</formula>
    <oldFormula>'14. РТС'!$14:$15,'14. РТС'!$19:$19,'14. РТС'!$30:$30,'14. РТС'!$33:$33,'14. РТС'!$36:$36,'14. РТС'!$43:$43</oldFormula>
  </rdn>
  <rdn rId="0" localSheetId="20" customView="1" name="Z_996EC2F0_F6EC_4E63_A83E_34865157BD8D_.wvu.Rows" hidden="1" oldHidden="1">
    <formula>'20. МСП'!$19:$19</formula>
    <oldFormula>'20. МСП'!$19:$19</oldFormula>
  </rdn>
  <rcv guid="{996EC2F0-F6EC-4E63-A83E-34865157BD8D}" action="add"/>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74" sId="1" numFmtId="4">
    <oc r="Q67">
      <v>0</v>
    </oc>
    <nc r="Q67">
      <v>13781.52</v>
    </nc>
  </rcc>
  <rcc rId="1875" sId="1" numFmtId="4">
    <oc r="Q66">
      <v>0</v>
    </oc>
    <nc r="Q66">
      <v>2189.46</v>
    </nc>
  </rcc>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76" sId="1">
    <oc r="O73">
      <f>O77</f>
    </oc>
    <nc r="O73">
      <f>O77</f>
    </nc>
  </rcc>
  <rcc rId="1877" sId="1">
    <oc r="E76">
      <f>J76+L76+N76</f>
    </oc>
    <nc r="E76">
      <f>J76+L76+N76+P76</f>
    </nc>
  </rcc>
  <rcc rId="1878" sId="1">
    <oc r="E77">
      <f>J77+L77+N77</f>
    </oc>
    <nc r="E77">
      <f>J77+L77+N77+P77</f>
    </nc>
  </rcc>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879" sId="1" ref="A77:XFD77" action="insertRow"/>
  <rcc rId="1880" sId="1">
    <nc r="C77" t="inlineStr">
      <is>
        <t>привлеченный средства</t>
      </is>
    </nc>
  </rcc>
  <rcc rId="1881" sId="1">
    <nc r="D77">
      <f>SUM(J77,L77,N77,P77,R77,T77,V77,X77,Z77,AB77,AD77,AF77)</f>
    </nc>
  </rcc>
  <rcc rId="1882" sId="1">
    <nc r="E77">
      <f>J77+L77+N77+P77</f>
    </nc>
  </rcc>
  <rcc rId="1883" sId="1">
    <nc r="F77">
      <f>G77</f>
    </nc>
  </rcc>
  <rcc rId="1884" sId="1">
    <nc r="G77">
      <f>SUM(K77,M77,O77,Q77,S77,U77,W77,Y77,AA77,AC77,AE77,AG77)</f>
    </nc>
  </rcc>
  <rcc rId="1885" sId="1">
    <nc r="H77">
      <f>IFERROR(G77/D77*100,0)</f>
    </nc>
  </rcc>
  <rcc rId="1886" sId="1">
    <nc r="I77">
      <f>IFERROR(G77/E77*100,0)</f>
    </nc>
  </rcc>
  <rcc rId="1887" sId="1" numFmtId="4">
    <nc r="P77">
      <v>5900</v>
    </nc>
  </rcc>
  <rcc rId="1888" sId="1" numFmtId="4">
    <nc r="Q77">
      <v>5900</v>
    </nc>
  </rcc>
  <rcc rId="1889" sId="1">
    <oc r="D74">
      <f>D76+D78+D75</f>
    </oc>
    <nc r="D74">
      <f>D76+D78+D75+D77</f>
    </nc>
  </rcc>
  <rcc rId="1890" sId="1">
    <oc r="E74">
      <f>E76+E78+E75</f>
    </oc>
    <nc r="E74">
      <f>E76+E78+E75+E77</f>
    </nc>
  </rcc>
  <rcc rId="1891" sId="1">
    <oc r="F74">
      <f>F76+F78+F75</f>
    </oc>
    <nc r="F74">
      <f>F76+F78+F75+F77</f>
    </nc>
  </rcc>
  <rcc rId="1892" sId="1">
    <oc r="G74">
      <f>G76+G78+G75</f>
    </oc>
    <nc r="G74">
      <f>G76+G78+G75+G77</f>
    </nc>
  </rcc>
  <rfmt sheetId="1" sqref="H74" start="0" length="0">
    <dxf/>
  </rfmt>
  <rfmt sheetId="1" sqref="I74" start="0" length="0">
    <dxf/>
  </rfmt>
  <rcc rId="1893" sId="1">
    <oc r="I73">
      <f>IFERROR(G73/E73*100,0)</f>
    </oc>
    <nc r="I73">
      <f>IFERROR(G73/E73*100,0)</f>
    </nc>
  </rcc>
  <rcc rId="1894" sId="1" odxf="1" dxf="1">
    <oc r="I74">
      <f>IFERROR(G74/E74*100,0)</f>
    </oc>
    <nc r="I74">
      <f>IFERROR(G74/E74*100,0)</f>
    </nc>
    <ndxf>
      <font>
        <b val="0"/>
        <sz val="12"/>
        <color auto="1"/>
        <name val="Times New Roman"/>
        <scheme val="none"/>
      </font>
    </ndxf>
  </rcc>
  <rcc rId="1895" sId="1" odxf="1" dxf="1">
    <oc r="H74">
      <f>IFERROR(G74/D74*100,0)</f>
    </oc>
    <nc r="H74">
      <f>IFERROR(G74/D74*100,0)</f>
    </nc>
    <ndxf>
      <font>
        <b val="0"/>
        <sz val="12"/>
        <color auto="1"/>
        <name val="Times New Roman"/>
        <scheme val="none"/>
      </font>
    </ndxf>
  </rcc>
  <rcv guid="{996EC2F0-F6EC-4E63-A83E-34865157BD8D}" action="delete"/>
  <rdn rId="0" localSheetId="1" customView="1" name="Z_996EC2F0_F6EC_4E63_A83E_34865157BD8D_.wvu.Rows" hidden="1" oldHidden="1">
    <formula>'1. РО'!$28:$28,'1. РО'!$32:$32,'1. РО'!$52:$52,'1. РО'!$71:$71</formula>
    <oldFormula>'1. РО'!$28:$28,'1. РО'!$32:$32,'1. РО'!$52:$52,'1. РО'!$71:$71,'1. РО'!$75:$75</oldFormula>
  </rdn>
  <rdn rId="0" localSheetId="4" customView="1" name="Z_996EC2F0_F6EC_4E63_A83E_34865157BD8D_.wvu.Rows" hidden="1" oldHidden="1">
    <formula>'4. КП'!$23:$23,'4. КП'!$27:$27,'4. КП'!$68:$68,'4. КП'!$75:$75,'4. КП'!$83:$83,'4. КП'!$87:$88,'4. КП'!$91:$91,'4. КП'!$93:$93</formula>
    <oldFormula>'4. КП'!$23:$23,'4. КП'!$27:$27,'4. КП'!$68:$68,'4. КП'!$75:$75,'4. КП'!$83:$83,'4. КП'!$87:$88,'4. КП'!$91:$91,'4. КП'!$93:$93</oldFormula>
  </rdn>
  <rdn rId="0" localSheetId="5" customView="1" name="Z_996EC2F0_F6EC_4E63_A83E_34865157BD8D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996EC2F0_F6EC_4E63_A83E_34865157BD8D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996EC2F0_F6EC_4E63_A83E_34865157BD8D_.wvu.Rows" hidden="1" oldHidden="1">
    <formula>'9. РЖКК'!$14:$14,'9. РЖКК'!$28:$28</formula>
    <oldFormula>'9. РЖКК'!$14:$14,'9. РЖКК'!$28:$28</oldFormula>
  </rdn>
  <rdn rId="0" localSheetId="14" customView="1" name="Z_996EC2F0_F6EC_4E63_A83E_34865157BD8D_.wvu.Rows" hidden="1" oldHidden="1">
    <formula>'14. РТС'!$14:$15,'14. РТС'!$19:$19,'14. РТС'!$30:$30,'14. РТС'!$33:$33,'14. РТС'!$36:$36,'14. РТС'!$43:$43</formula>
    <oldFormula>'14. РТС'!$14:$15,'14. РТС'!$19:$19,'14. РТС'!$30:$30,'14. РТС'!$33:$33,'14. РТС'!$36:$36,'14. РТС'!$43:$43</oldFormula>
  </rdn>
  <rdn rId="0" localSheetId="20" customView="1" name="Z_996EC2F0_F6EC_4E63_A83E_34865157BD8D_.wvu.Rows" hidden="1" oldHidden="1">
    <formula>'20. МСП'!$19:$19</formula>
    <oldFormula>'20. МСП'!$19:$19</oldFormula>
  </rdn>
  <rcv guid="{996EC2F0-F6EC-4E63-A83E-34865157BD8D}" action="add"/>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03" sId="1" numFmtId="4">
    <oc r="Q76">
      <v>0</v>
    </oc>
    <nc r="Q76">
      <v>11329.14</v>
    </nc>
  </rcc>
  <rcc rId="1904" sId="1" numFmtId="4">
    <oc r="P76">
      <v>0</v>
    </oc>
    <nc r="P76">
      <v>13699.06</v>
    </nc>
  </rcc>
  <rcc rId="1905" sId="1" numFmtId="4">
    <oc r="AF76">
      <v>11225.6</v>
    </oc>
    <nc r="AF76"/>
  </rcc>
  <rcc rId="1906" sId="1" numFmtId="4">
    <oc r="V76">
      <v>7745.89</v>
    </oc>
    <nc r="V76">
      <f>7745.89-2473.46</f>
    </nc>
  </rcc>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07" sId="1">
    <oc r="E82">
      <f>J82+L82+N82</f>
    </oc>
    <nc r="E82">
      <f>J82+L82+N82+P82</f>
    </nc>
  </rcc>
  <rcc rId="1908" sId="1" numFmtId="4">
    <oc r="Q82">
      <v>0</v>
    </oc>
    <nc r="Q82">
      <v>4466.2</v>
    </nc>
  </rcc>
  <rcc rId="1909" sId="1" numFmtId="4">
    <oc r="P82">
      <v>484.5</v>
    </oc>
    <nc r="P82">
      <f>3894.72+484.5</f>
    </nc>
  </rcc>
  <rcc rId="1910" sId="1">
    <oc r="AF82">
      <f>1753.2+731+2380.4</f>
    </oc>
    <nc r="AF82">
      <f>1753.2+731+2380.4-3894.72</f>
    </nc>
  </rcc>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11" sId="1">
    <oc r="E86">
      <f>J86+L86+N86</f>
    </oc>
    <nc r="E86">
      <f>J86+L86+N86+P86</f>
    </nc>
  </rcc>
  <rcc rId="1912" sId="1" numFmtId="4">
    <oc r="Q86">
      <v>0</v>
    </oc>
    <nc r="Q86">
      <v>500.54</v>
    </nc>
  </rcc>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13" sId="1">
    <oc r="E88">
      <f>J88+L88+N88</f>
    </oc>
    <nc r="E88">
      <f>J88+L88+N88+P88</f>
    </nc>
  </rcc>
  <rcc rId="1914" sId="1" numFmtId="4">
    <oc r="Q88">
      <v>0</v>
    </oc>
    <nc r="Q88">
      <v>5607.97</v>
    </nc>
  </rcc>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15" sId="1">
    <oc r="E102">
      <f>J102+L102+N102</f>
    </oc>
    <nc r="E102">
      <f>J102+L102+N102+P102</f>
    </nc>
  </rcc>
  <rcc rId="1916" sId="1" numFmtId="4">
    <oc r="Q102">
      <v>0</v>
    </oc>
    <nc r="Q102">
      <v>3537.36</v>
    </nc>
  </rcc>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17" sId="4" numFmtId="4">
    <oc r="O31">
      <v>0</v>
    </oc>
    <nc r="O31">
      <v>568.32000000000005</v>
    </nc>
  </rcc>
  <rcc rId="1918" sId="4" numFmtId="4">
    <oc r="O32">
      <v>0</v>
    </oc>
    <nc r="O32">
      <v>888.91</v>
    </nc>
  </rcc>
  <rcc rId="1919" sId="4" numFmtId="4">
    <oc r="O33">
      <v>0</v>
    </oc>
    <nc r="O33">
      <v>29.74</v>
    </nc>
  </rcc>
  <rcc rId="1920" sId="4" numFmtId="4">
    <oc r="Q31">
      <v>0</v>
    </oc>
    <nc r="Q31">
      <v>592.41</v>
    </nc>
  </rcc>
  <rcc rId="1921" sId="4" numFmtId="4">
    <oc r="Q32">
      <v>0</v>
    </oc>
    <nc r="Q32">
      <v>926.59</v>
    </nc>
  </rcc>
  <rcc rId="1922" sId="4" numFmtId="4">
    <oc r="Q33">
      <v>0</v>
    </oc>
    <nc r="Q33">
      <v>31</v>
    </nc>
  </rcc>
  <rcc rId="1923" sId="4" numFmtId="4">
    <oc r="K79">
      <v>0</v>
    </oc>
    <nc r="K79">
      <v>125.55</v>
    </nc>
  </rcc>
  <rcc rId="1924" sId="4" numFmtId="4">
    <oc r="K78">
      <v>0</v>
    </oc>
    <nc r="K78">
      <v>3101.25</v>
    </nc>
  </rcc>
  <rcc rId="1925" sId="4" numFmtId="4">
    <oc r="M78">
      <v>0</v>
    </oc>
    <nc r="M78">
      <v>15634.7</v>
    </nc>
  </rcc>
  <rcc rId="1926" sId="4" numFmtId="4">
    <oc r="M79">
      <v>0</v>
    </oc>
    <nc r="M79">
      <v>368.76</v>
    </nc>
  </rcc>
  <rcc rId="1927" sId="4" numFmtId="4">
    <oc r="O78">
      <v>0</v>
    </oc>
    <nc r="O78">
      <v>9798.9</v>
    </nc>
  </rcc>
  <rcc rId="1928" sId="4" numFmtId="4">
    <oc r="O79">
      <v>0</v>
    </oc>
    <nc r="O79">
      <v>468.45</v>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22" sId="5" numFmtId="4">
    <oc r="Q85">
      <v>0</v>
    </oc>
    <nc r="Q85">
      <v>436.44</v>
    </nc>
  </rcc>
  <rcv guid="{BBF6B43F-E0FC-43DF-B91C-674F6AB4B556}" action="delete"/>
  <rdn rId="0" localSheetId="1" customView="1" name="Z_BBF6B43F_E0FC_43DF_B91C_674F6AB4B556_.wvu.Rows" hidden="1" oldHidden="1">
    <formula>'1. РО'!$28:$28,'1. РО'!$32:$32,'1. РО'!$52:$52,'1. РО'!$59:$59,'1. РО'!$71:$71,'1. РО'!$75:$75</formula>
    <oldFormula>'1. РО'!$28:$28,'1. РО'!$32:$32,'1. РО'!$52:$52,'1. РО'!$59:$59,'1. РО'!$71:$71,'1. РО'!$75:$75</oldFormula>
  </rdn>
  <rdn rId="0" localSheetId="4" customView="1" name="Z_BBF6B43F_E0FC_43DF_B91C_674F6AB4B556_.wvu.Rows" hidden="1" oldHidden="1">
    <formula>'4. КП'!$23:$23,'4. КП'!$27:$27,'4. КП'!$68:$68,'4. КП'!$75:$75,'4. КП'!$83:$83,'4. КП'!$87:$88,'4. КП'!$91:$91,'4. КП'!$93:$93</formula>
    <oldFormula>'4. КП'!$23:$23,'4. КП'!$27:$27,'4. КП'!$68:$68,'4. КП'!$75:$75,'4. КП'!$83:$83,'4. КП'!$87:$88,'4. КП'!$91:$91,'4. КП'!$93:$93</oldFormula>
  </rdn>
  <rdn rId="0" localSheetId="5" customView="1" name="Z_BBF6B43F_E0FC_43DF_B91C_674F6AB4B556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BBF6B43F_E0FC_43DF_B91C_674F6AB4B556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BBF6B43F_E0FC_43DF_B91C_674F6AB4B556_.wvu.Rows" hidden="1" oldHidden="1">
    <formula>'9. РЖКК'!$14:$14,'9. РЖКК'!$28:$28</formula>
    <oldFormula>'9. РЖКК'!$14:$14,'9. РЖКК'!$28:$28</oldFormula>
  </rdn>
  <rdn rId="0" localSheetId="14" customView="1" name="Z_BBF6B43F_E0FC_43DF_B91C_674F6AB4B556_.wvu.Rows" hidden="1" oldHidden="1">
    <formula>'14. РТС'!$14:$15,'14. РТС'!$19:$19,'14. РТС'!$30:$30,'14. РТС'!$33:$33,'14. РТС'!$36:$36,'14. РТС'!$43:$43</formula>
    <oldFormula>'14. РТС'!$14:$15,'14. РТС'!$19:$19,'14. РТС'!$30:$30,'14. РТС'!$33:$33,'14. РТС'!$36:$36,'14. РТС'!$43:$43</oldFormula>
  </rdn>
  <rdn rId="0" localSheetId="20" customView="1" name="Z_BBF6B43F_E0FC_43DF_B91C_674F6AB4B556_.wvu.Rows" hidden="1" oldHidden="1">
    <formula>'20. МСП'!$19:$19</formula>
    <oldFormula>'20. МСП'!$19:$19</oldFormula>
  </rdn>
  <rcv guid="{BBF6B43F-E0FC-43DF-B91C-674F6AB4B556}" action="add"/>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29" sId="4" numFmtId="4">
    <oc r="Q78">
      <v>0</v>
    </oc>
    <nc r="Q78">
      <v>15437.18</v>
    </nc>
  </rcc>
  <rcc rId="1930" sId="4" numFmtId="4">
    <oc r="Q79">
      <v>0</v>
    </oc>
    <nc r="Q79">
      <v>374.98</v>
    </nc>
  </rcc>
  <rcc rId="1931" sId="4">
    <oc r="AH59" t="inlineStr">
      <is>
        <t>Отклонение - 5684,902 тыс. руб., в том числе 1774,865 тыс. руб. - заработная плата, 22,803 тыс. руб. - оплата 3-х дней больничного за счет средств работодателя, 752,451 тыс. руб. - начисление на выплаты по оплате труда, 40,674 тыс. руб. - услуги связи,198,580 тыс. руб. - механизированная уборка и вывоз снега; 159,443 тыс. руб. -  техническое обслуживание зданий, 28,903 тыс. руб. - противопожарное обслуживание,  282,596 тыс. руб. - услуги охраны, 488,428 тыс.  - теплоснабжение, 477,489 тыс. руб. - энергоснабжение; 20,041 тыс. руб. - водопотребление, 905,805 тыс. руб. - налоги, 487,295 тыс руб. - содержание объекта благоустройства Набережная реки Ингу-Ягун., 45,529 тыс. руб. - оплата льготного проезда.</t>
      </is>
    </oc>
    <nc r="AH59">
      <f>'C:\Users\TihonovaLA\AppData\Local\Microsoft\Windows\Temporary Internet Files\Content.MSO\[Копия Сетевые графики на 01.05.2025.xlsx]разв.кул.'!$AF$10</f>
    </nc>
  </rcc>
  <rcc rId="1932" sId="4">
    <oc r="AH60" t="inlineStr">
      <is>
        <t>Отклонение -2778,454 тыс. руб., в том числе: 750,000 тыс. руб. - оплата труда, 115,254 тыс. руб. - суточные, проезд, проживание при служ. командировках,  226,500 тыс. руб. - начисление на оплату труда,  0,300 тыс. руб. - транспортные услуги, 307,910 тыс. руб. - коммунальные платежи, 95,606 тыс. руб. - техническое обсуживание системы видеонаблюдения и кассовых аппаратов, 283,110 тыс. руб. -прочие расходы, 103,842 тыс. руб.- приобретение основных средств, 446,009 тыс. руб. продукты питания, 154,504 тыс. руб. - прочие приобретения и призы, 295,419 тыс. руб. - оплата налогов.</t>
      </is>
    </oc>
    <nc r="AH60">
      <f>'C:\Users\TihonovaLA\AppData\Local\Microsoft\Windows\Temporary Internet Files\Content.MSO\[Копия Сетевые графики на 01.05.2025.xlsx]разв.кул.'!$AF$17</f>
    </nc>
  </rcc>
  <rcc rId="1933" sId="4">
    <oc r="AH61" t="inlineStr">
      <is>
        <t>Отклонение -440,698 тыс.руб. - в том числе: 301,734 тыс. руб. - расходы в рамках участия в конкурсах-фестивалях не выплачивались в связи с переносом конкурса, 34,0 тыс. руб. - транспортные услуги в рамках новогодних мероприятий не оказывались на мер. "Проводы зимы" документы не предоставлялись, 101,838 тыс. руб.   -  оплата за участие в конкурсе-фестивале не производилась (перенос конкурса на более поздние сроки) ,3,126тыс. руб. - документы на потребление электроэнергии Снежного городка предоставлены на меньшую сумму.</t>
      </is>
    </oc>
    <nc r="AH61">
      <f>'C:\Users\TihonovaLA\AppData\Local\Microsoft\Windows\Temporary Internet Files\Content.MSO\[Копия Сетевые графики на 01.05.2025.xlsx]разв.кул.'!$AF$18</f>
    </nc>
  </rcc>
  <rfmt sheetId="4" s="1" sqref="AH76" start="0" length="0">
    <dxf>
      <font>
        <sz val="14"/>
        <color auto="1"/>
        <name val="Times New Roman"/>
        <scheme val="none"/>
      </font>
    </dxf>
  </rfmt>
  <rcc rId="1934" sId="4">
    <oc r="AH76" t="inlineStr">
      <is>
        <t xml:space="preserve">АРТ - Отклонение 3181,538 руб. - новогодние светодиодные фигуры, костюмы оплачиваются по факту поступления.                                              ЦБС - Не закончена процедура заключения контрактов                </t>
      </is>
    </oc>
    <nc r="AH76" t="inlineStr">
      <is>
        <t>АРТ - Отклонение 7858,509 руб. - новогодние светодиодные фигуры, костюмы оплачиваются по факту поступления.</t>
      </is>
    </nc>
  </rcc>
  <rfmt sheetId="4" sqref="AH76" start="0" length="2147483647">
    <dxf>
      <font>
        <sz val="12"/>
      </font>
    </dxf>
  </rfmt>
  <rfmt sheetId="4" sqref="AH76">
    <dxf>
      <alignment vertical="top" readingOrder="0"/>
    </dxf>
  </rfmt>
  <rcc rId="1935" sId="4">
    <oc r="AH66" t="inlineStr">
      <is>
        <t>АРТ - Отклонение -52862,0 тыс.руб. - средства НК "ЛУКОЙЛ": 49815,0 тыс. руб.  - на проведение юбилейных мероприятий, 3047,0 тыс. руб. - на приобретение костюмов в рамках юбилейных мероприятий                                 ЦБС - Не закончена процедура заключения контрактов</t>
      </is>
    </oc>
    <nc r="AH66"/>
  </rcc>
  <rcv guid="{2940A182-D1A7-43C5-8D6E-965BED4371B0}" action="delete"/>
  <rdn rId="0" localSheetId="1" customView="1" name="Z_2940A182_D1A7_43C5_8D6E_965BED4371B0_.wvu.Rows" hidden="1" oldHidden="1">
    <formula>'1. РО'!$28:$28,'1. РО'!$32:$32,'1. РО'!$52:$52,'1. РО'!$59:$59,'1. РО'!$71:$71,'1. РО'!$75:$75</formula>
    <oldFormula>'1. РО'!$28:$28,'1. РО'!$32:$32,'1. РО'!$52:$52,'1. РО'!$59:$59,'1. РО'!$71:$71,'1. РО'!$75:$75</oldFormula>
  </rdn>
  <rdn rId="0" localSheetId="4" customView="1" name="Z_2940A182_D1A7_43C5_8D6E_965BED4371B0_.wvu.Rows" hidden="1" oldHidden="1">
    <formula>'4. КП'!$23:$23,'4. КП'!$27:$27,'4. КП'!$68:$68,'4. КП'!$75:$75,'4. КП'!$83:$83,'4. КП'!$87:$88,'4. КП'!$91:$91,'4. КП'!$93:$93</formula>
    <oldFormula>'4. КП'!$23:$23,'4. КП'!$27:$27,'4. КП'!$68:$68,'4. КП'!$75:$75,'4. КП'!$83:$83,'4. КП'!$87:$88,'4. КП'!$91:$91,'4. КП'!$93:$93</oldFormula>
  </rdn>
  <rdn rId="0" localSheetId="5" customView="1" name="Z_2940A182_D1A7_43C5_8D6E_965BED4371B0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2940A182_D1A7_43C5_8D6E_965BED4371B0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2940A182_D1A7_43C5_8D6E_965BED4371B0_.wvu.Rows" hidden="1" oldHidden="1">
    <formula>'9. РЖКК'!$14:$14,'9. РЖКК'!$28:$28</formula>
    <oldFormula>'9. РЖКК'!$14:$14,'9. РЖКК'!$28:$28</oldFormula>
  </rdn>
  <rdn rId="0" localSheetId="14" customView="1" name="Z_2940A182_D1A7_43C5_8D6E_965BED4371B0_.wvu.Rows" hidden="1" oldHidden="1">
    <formula>'14. РТС'!$14:$15,'14. РТС'!$19:$19,'14. РТС'!$30:$30,'14. РТС'!$33:$33,'14. РТС'!$36:$36,'14. РТС'!$43:$43</formula>
    <oldFormula>'14. РТС'!$14:$15,'14. РТС'!$19:$19,'14. РТС'!$30:$30,'14. РТС'!$33:$33,'14. РТС'!$36:$36,'14. РТС'!$43:$43</oldFormula>
  </rdn>
  <rdn rId="0" localSheetId="20" customView="1" name="Z_2940A182_D1A7_43C5_8D6E_965BED4371B0_.wvu.Rows" hidden="1" oldHidden="1">
    <formula>'20. МСП'!$19:$19</formula>
    <oldFormula>'20. МСП'!$19:$19</oldFormula>
  </rdn>
  <rcv guid="{2940A182-D1A7-43C5-8D6E-965BED4371B0}" action="add"/>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43" sId="8" numFmtId="19">
    <oc r="E6">
      <v>45748</v>
    </oc>
    <nc r="E6">
      <v>45778</v>
    </nc>
  </rcc>
  <rcc rId="1944" sId="8" numFmtId="19">
    <oc r="F6">
      <v>45748</v>
    </oc>
    <nc r="F6">
      <v>45778</v>
    </nc>
  </rcc>
  <rcc rId="1945" sId="8" numFmtId="19">
    <oc r="G6">
      <v>45748</v>
    </oc>
    <nc r="G6">
      <v>45778</v>
    </nc>
  </rcc>
  <rcc rId="1946" sId="8">
    <oc r="E9">
      <f>J9+L9+N9</f>
    </oc>
    <nc r="E9">
      <f>J9+L9+N9+P9</f>
    </nc>
  </rcc>
  <rcc rId="1947" sId="8">
    <oc r="E10">
      <f>J10+L10+N10</f>
    </oc>
    <nc r="E10">
      <f>J10+L10+N10+P10</f>
    </nc>
  </rcc>
  <rcc rId="1948" sId="8">
    <oc r="E11">
      <f>J11+L11+N11</f>
    </oc>
    <nc r="E11">
      <f>J11+L11+N11+P11</f>
    </nc>
  </rcc>
  <rcc rId="1949" sId="8">
    <oc r="E14">
      <f>J14+L14+N14</f>
    </oc>
    <nc r="E14">
      <f>J14+L14+N14+P14</f>
    </nc>
  </rcc>
  <rcc rId="1950" sId="8">
    <oc r="E15">
      <f>J15+L15+N15</f>
    </oc>
    <nc r="E15">
      <f>J15+L15+N15+P15</f>
    </nc>
  </rcc>
  <rcc rId="1951" sId="8">
    <oc r="E16">
      <f>J16+L16+N16</f>
    </oc>
    <nc r="E16">
      <f>J16+L16+N16+P16</f>
    </nc>
  </rcc>
  <rcc rId="1952" sId="8">
    <oc r="E19">
      <f>J19+L19+N19</f>
    </oc>
    <nc r="E19">
      <f>J19+L19+N19+P19</f>
    </nc>
  </rcc>
  <rcc rId="1953" sId="8">
    <oc r="E20">
      <f>J20+L20+N20</f>
    </oc>
    <nc r="E20">
      <f>J20+L20+N20+P20</f>
    </nc>
  </rcc>
  <rcc rId="1954" sId="8">
    <oc r="E22">
      <f>J22+L22+N22</f>
    </oc>
    <nc r="E22">
      <f>J22+L22+N22+P22</f>
    </nc>
  </rcc>
  <rcc rId="1955" sId="8">
    <oc r="E23">
      <f>J23+L23+N23</f>
    </oc>
    <nc r="E23">
      <f>J23+L23+N23+P23</f>
    </nc>
  </rcc>
  <rcc rId="1956" sId="8">
    <oc r="E25">
      <f>J25+L25+N25</f>
    </oc>
    <nc r="E25">
      <f>J25+L25+N25+P25</f>
    </nc>
  </rcc>
  <rcc rId="1957" sId="8">
    <oc r="E26">
      <f>J26+L26+N26</f>
    </oc>
    <nc r="E26">
      <f>J26+L26+N26+P26</f>
    </nc>
  </rcc>
  <rcc rId="1958" sId="8">
    <oc r="E28">
      <f>J28+L28+N28</f>
    </oc>
    <nc r="E28">
      <f>J28+L28+N28+P28</f>
    </nc>
  </rcc>
  <rcc rId="1959" sId="8">
    <oc r="E29">
      <f>J29+L29+N29</f>
    </oc>
    <nc r="E29">
      <f>J29+L29+N29+P29</f>
    </nc>
  </rcc>
  <rcc rId="1960" sId="8">
    <oc r="E32">
      <f>J32+L32+N32</f>
    </oc>
    <nc r="E32">
      <f>J32+L32+N32+P32</f>
    </nc>
  </rcc>
  <rcc rId="1961" sId="8">
    <oc r="E33">
      <f>J33+L33+N33</f>
    </oc>
    <nc r="E33">
      <f>J33+L33+N33+P33</f>
    </nc>
  </rcc>
  <rcc rId="1962" sId="8">
    <oc r="E35">
      <f>J35+L35+N35</f>
    </oc>
    <nc r="E35">
      <f>J35+L35+N35+P35</f>
    </nc>
  </rcc>
  <rcc rId="1963" sId="8">
    <oc r="E37">
      <f>J37+L37+N37</f>
    </oc>
    <nc r="E37">
      <f>J37+L37+N37+P37</f>
    </nc>
  </rcc>
  <rcc rId="1964" sId="8">
    <oc r="E38">
      <f>J38+L38+N38</f>
    </oc>
    <nc r="E38">
      <f>J38+L38+N38+P38</f>
    </nc>
  </rcc>
  <rcc rId="1965" sId="8">
    <oc r="E41">
      <f>J41+L41+N41</f>
    </oc>
    <nc r="E41">
      <f>J41+L41+N41+P41</f>
    </nc>
  </rcc>
  <rcc rId="1966" sId="8">
    <oc r="E43">
      <f>J43+L43+N43</f>
    </oc>
    <nc r="E43">
      <f>J43+L43+N43+P43</f>
    </nc>
  </rcc>
  <rcc rId="1967" sId="8">
    <oc r="E45">
      <f>J45+L45+N45</f>
    </oc>
    <nc r="E45">
      <f>J45+L45+N45+P45</f>
    </nc>
  </rcc>
  <rcc rId="1968" sId="8">
    <oc r="E47">
      <f>J47+L47+N47</f>
    </oc>
    <nc r="E47">
      <f>J47+L47+N47+P47</f>
    </nc>
  </rcc>
  <rcc rId="1969" sId="8">
    <oc r="E49">
      <f>J49+L49+N49</f>
    </oc>
    <nc r="E49">
      <f>J49+L49+N49+P49</f>
    </nc>
  </rcc>
  <rcv guid="{AFADB96A-0516-43C1-9F1B-0604F3CAC04A}" action="delete"/>
  <rdn rId="0" localSheetId="1" customView="1" name="Z_AFADB96A_0516_43C1_9F1B_0604F3CAC04A_.wvu.Rows" hidden="1" oldHidden="1">
    <formula>'1. РО'!$28:$28,'1. РО'!$32:$32,'1. РО'!$52:$52,'1. РО'!$59:$59,'1. РО'!$71:$71,'1. РО'!$75:$75</formula>
    <oldFormula>'1. РО'!$28:$28,'1. РО'!$32:$32,'1. РО'!$52:$52,'1. РО'!$59:$59,'1. РО'!$71:$71,'1. РО'!$75:$75</oldFormula>
  </rdn>
  <rdn rId="0" localSheetId="4" customView="1" name="Z_AFADB96A_0516_43C1_9F1B_0604F3CAC04A_.wvu.Rows" hidden="1" oldHidden="1">
    <formula>'4. КП'!$23:$23,'4. КП'!$27:$27,'4. КП'!$68:$68,'4. КП'!$75:$75,'4. КП'!$83:$83,'4. КП'!$87:$88,'4. КП'!$91:$91,'4. КП'!$93:$93</formula>
    <oldFormula>'4. КП'!$23:$23,'4. КП'!$27:$27,'4. КП'!$68:$68,'4. КП'!$75:$75,'4. КП'!$83:$83,'4. КП'!$87:$88,'4. КП'!$91:$91,'4. КП'!$93:$93</oldFormula>
  </rdn>
  <rdn rId="0" localSheetId="5" customView="1" name="Z_AFADB96A_0516_43C1_9F1B_0604F3CAC04A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AFADB96A_0516_43C1_9F1B_0604F3CAC04A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AFADB96A_0516_43C1_9F1B_0604F3CAC04A_.wvu.Rows" hidden="1" oldHidden="1">
    <formula>'9. РЖКК'!$14:$14,'9. РЖКК'!$28:$28</formula>
    <oldFormula>'9. РЖКК'!$14:$14,'9. РЖКК'!$28:$28</oldFormula>
  </rdn>
  <rdn rId="0" localSheetId="14" customView="1" name="Z_AFADB96A_0516_43C1_9F1B_0604F3CAC04A_.wvu.Rows" hidden="1" oldHidden="1">
    <formula>'14. РТС'!$14:$15,'14. РТС'!$19:$19,'14. РТС'!$30:$30,'14. РТС'!$33:$33,'14. РТС'!$36:$36,'14. РТС'!$43:$43</formula>
    <oldFormula>'14. РТС'!$14:$15,'14. РТС'!$19:$19,'14. РТС'!$30:$30,'14. РТС'!$33:$33,'14. РТС'!$36:$36,'14. РТС'!$43:$43</oldFormula>
  </rdn>
  <rdn rId="0" localSheetId="20" customView="1" name="Z_AFADB96A_0516_43C1_9F1B_0604F3CAC04A_.wvu.Rows" hidden="1" oldHidden="1">
    <formula>'20. МСП'!$19:$19</formula>
    <oldFormula>'20. МСП'!$19:$19</oldFormula>
  </rdn>
  <rcv guid="{AFADB96A-0516-43C1-9F1B-0604F3CAC04A}" action="add"/>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77" sId="8" numFmtId="4">
    <oc r="Q28">
      <v>0</v>
    </oc>
    <nc r="Q28">
      <v>1976.98</v>
    </nc>
  </rcc>
  <rcc rId="1978" sId="8" numFmtId="4">
    <oc r="Q29">
      <v>0</v>
    </oc>
    <nc r="Q29">
      <v>195.53</v>
    </nc>
  </rcc>
  <rcc rId="1979" sId="8">
    <oc r="AH27" t="inlineStr">
      <is>
        <r>
          <t xml:space="preserve">МКУ "УКС и ЖКК г.Когалыма"
</t>
        </r>
        <r>
          <rPr>
            <sz val="12"/>
            <rFont val="Times New Roman"/>
            <family val="1"/>
            <charset val="204"/>
          </rPr>
          <t>Заключен муниципальный контракт №0187300013725000026 от 28.03.2025 на выполнение работ по сносу ветхих и непригодных для проживания домов на сумму 1 018,05 тыс.руб. Срок выполнения работ 07.04.2025</t>
        </r>
        <r>
          <rPr>
            <b/>
            <sz val="12"/>
            <rFont val="Times New Roman"/>
            <family val="1"/>
            <charset val="204"/>
          </rPr>
          <t xml:space="preserve">
</t>
        </r>
      </is>
    </oc>
    <nc r="AH27" t="inlineStr">
      <is>
        <r>
          <t xml:space="preserve">МКУ "УКС и ЖКК г.Когалыма"
</t>
        </r>
        <r>
          <rPr>
            <sz val="12"/>
            <rFont val="Times New Roman"/>
            <family val="1"/>
            <charset val="204"/>
          </rPr>
          <t>1. Заключен муниципальный контракт №0187300013725000026 от 28.03.2025 на выполнение работ по сносу ветхих и непригодных для проживания домов на сумму 1 018,05 тыс.рублей
-срок выполнения работ 07.04.2025;
-работы выполнены и оплачены в полном объеме.
2. Заключен муниципальный контракт №13/2025 от 11.04.2025 на выполнение работ по сносу ветхого и непригодного для проживания дома, расположенного по адресу: город Когалым, улица Мостовая, дом №15 на сумму 577,22  тыс.рублей
-срок выполнения работ 30.04.2025;
-работы выполнены и оплачены в полном объеме.
3. Заключен муниципальный контракт №14/2025 от 11.04.2025 на выполнение работ по сносу ветхого и непригодного для проживания дома, расположенного по адресу: город Когалым, улица Мостовая, дом №38 на сумму 577,22  тыс.рублей
-срок выполнения работ 30.04.2025;
-работы выполнены и оплачены в полном объеме.</t>
        </r>
      </is>
    </nc>
  </rcc>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80" sId="8" numFmtId="4">
    <oc r="P49">
      <v>6515.19</v>
    </oc>
    <nc r="P49">
      <v>6544.66</v>
    </nc>
  </rcc>
  <rcc rId="1981" sId="8" numFmtId="4">
    <oc r="Q49">
      <v>0</v>
    </oc>
    <nc r="Q49">
      <v>6608.99</v>
    </nc>
  </rcc>
  <rcc rId="1982" sId="8" numFmtId="4">
    <oc r="R49">
      <v>6075.48</v>
    </oc>
    <nc r="R49">
      <v>6096.04</v>
    </nc>
  </rcc>
  <rcc rId="1983" sId="8" numFmtId="4">
    <oc r="T49">
      <v>7641.88</v>
    </oc>
    <nc r="T49">
      <v>7661.88</v>
    </nc>
  </rcc>
  <rcc rId="1984" sId="8" numFmtId="4">
    <oc r="V49">
      <v>8782.6299999999992</v>
    </oc>
    <nc r="V49">
      <v>8789.31</v>
    </nc>
  </rcc>
  <rcc rId="1985" sId="8" numFmtId="4">
    <oc r="Z49">
      <v>6509.78</v>
    </oc>
    <nc r="Z49">
      <v>6501</v>
    </nc>
  </rcc>
  <rcc rId="1986" sId="8" numFmtId="4">
    <oc r="AB49">
      <v>7697.59</v>
    </oc>
    <nc r="AB49">
      <v>7681.76</v>
    </nc>
  </rcc>
  <rcc rId="1987" sId="8" numFmtId="4">
    <oc r="AF49">
      <v>8329.08</v>
    </oc>
    <nc r="AF49">
      <v>8277</v>
    </nc>
  </rcc>
  <rcc rId="1988" sId="8">
    <oc r="AH48" t="inlineStr">
      <is>
        <r>
          <t xml:space="preserve">МКУ "УКС и ЖКК г.Когалыма":
</t>
        </r>
        <r>
          <rPr>
            <sz val="12"/>
            <rFont val="Times New Roman"/>
            <family val="1"/>
            <charset val="204"/>
          </rPr>
          <t>Основной статьей неисполнения является заработная плата - в связи с наличием вакансий и выплатой денежного поощрения по результатам работы за фактически отработанное время.</t>
        </r>
      </is>
    </oc>
    <nc r="AH48" t="inlineStr">
      <is>
        <r>
          <t xml:space="preserve">МКУ "УКС и ЖКК г.Когалыма":
</t>
        </r>
        <r>
          <rPr>
            <sz val="12"/>
            <rFont val="Times New Roman"/>
            <family val="1"/>
            <charset val="204"/>
          </rPr>
          <t>Основной статьей неисполнения является заработная плата - наличие вакансий.</t>
        </r>
      </is>
    </nc>
  </rcc>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8" sqref="AH31:AH33">
    <dxf>
      <alignment horizontal="left" readingOrder="0"/>
    </dxf>
  </rfmt>
  <rfmt sheetId="8" sqref="AH31:AH33">
    <dxf>
      <alignment vertical="top" readingOrder="0"/>
    </dxf>
  </rfmt>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89" sId="8">
    <oc r="AH13" t="inlineStr">
      <is>
        <r>
          <t xml:space="preserve">УпоЖП:
</t>
        </r>
        <r>
          <rPr>
            <sz val="12"/>
            <rFont val="Times New Roman"/>
            <family val="1"/>
            <charset val="204"/>
          </rPr>
          <t>27.12.2024 между Департаментом строительства и архитектуры Ханты-Мансийского автономного округа - Югры и Муниципальным казенным учреждением Администрация города Когалыма заключено соглашение о предоставлении субсидии на 2025-2027 годы.  По состоянию на 31.03.2025 в списке молодых семей, претендующих на получение меры государственной поддержки  по городу Когалыму, состоят 14 семей. В 2025 году в соответствии с условиями муниципальной программы получателями субсидий являются 2 молодые семьи, из которых: 1 семье предоставлена социальная выплата, другая семья в соответствии с выданным свидетельством о праве на получение социальной выплаты находится в стадии поиска жилого помещения для приобретения.</t>
        </r>
      </is>
    </oc>
    <nc r="AH13" t="inlineStr">
      <is>
        <r>
          <t xml:space="preserve">УпоЖП:
</t>
        </r>
        <r>
          <rPr>
            <sz val="12"/>
            <rFont val="Times New Roman"/>
            <family val="1"/>
            <charset val="204"/>
          </rPr>
          <t>27.12.2024 между Департаментом строительства и архитектуры Ханты-Мансийского автономного округа - Югры и Муниципальным казенным учреждением Администрация города Когалыма заключено соглашение о предоставлении субсидии на 2025-2027 годы.  По состоянию на 30.04.2025 в списке молодых семей, претендующих на получение меры государственной поддержки  по городу Когалыму, состоят 14 семей. В 2025 году в соответствии с условиями муниципальной программы получателями субсидий являются 2 молодые семьи, из которых: 1 семье предоставлена социальная выплата, другая семья в соответствии с выданным свидетельством о праве на получение социальной выплаты находится в стадии поиска жилого помещения для приобретения.</t>
        </r>
      </is>
    </nc>
  </rcc>
  <rcc rId="1990" sId="8">
    <oc r="AH34" t="inlineStr">
      <is>
        <r>
          <t xml:space="preserve">УпоЖП:
</t>
        </r>
        <r>
          <rPr>
            <sz val="12"/>
            <rFont val="Times New Roman"/>
            <family val="1"/>
            <charset val="204"/>
          </rPr>
          <t xml:space="preserve"> В связи с окончанием срока реализации мероприятия приём документов для признания участниками осуществлялся до 31.12.2004 г. В настоящее время приём документов по данному мероприятию не ведётся. В списке отдельных категорий граждан претендующих на получение меры государственной поддержки  по городу Когалыму на 31.03.2025 состоят 4 человека (3 инвалида, 1 ветеран боевых действий). Граждане, изъявившие желание на получение субсидии в 2025 году, отсутствуют.</t>
        </r>
      </is>
    </oc>
    <nc r="AH34" t="inlineStr">
      <is>
        <r>
          <t xml:space="preserve">УпоЖП:
</t>
        </r>
        <r>
          <rPr>
            <sz val="12"/>
            <rFont val="Times New Roman"/>
            <family val="1"/>
            <charset val="204"/>
          </rPr>
          <t xml:space="preserve"> В связи с окончанием срока реализации мероприятия приём документов для признания участниками осуществлялся до 31.12.2004 г. В настоящее время приём документов по данному мероприятию не ведётся. В списке отдельных категорий граждан претендующих на получение меры государственной поддержки  по городу Когалыму на 30.04.2025 состоят 4 человека (3 инвалида, 1 ветеран боевых действий). Граждане, изъявившие желание на получение субсидии в 2025 году, отсутствуют.</t>
        </r>
      </is>
    </nc>
  </rcc>
  <rcc rId="1991" sId="8" numFmtId="4">
    <oc r="Q45">
      <v>0</v>
    </oc>
    <nc r="Q45">
      <v>1264.05</v>
    </nc>
  </rcc>
  <rcc rId="1992" sId="8" numFmtId="4">
    <oc r="N45">
      <v>942.77</v>
    </oc>
    <nc r="N45">
      <v>1000.47</v>
    </nc>
  </rcc>
  <rcc rId="1993" sId="8" numFmtId="4">
    <oc r="AF45">
      <v>1430.63</v>
    </oc>
    <nc r="AF45">
      <v>1372.93</v>
    </nc>
  </rcc>
  <rcc rId="1994" sId="8">
    <oc r="AH44" t="inlineStr">
      <is>
        <r>
          <t xml:space="preserve">УпоЖП:
</t>
        </r>
        <r>
          <rPr>
            <sz val="12"/>
            <rFont val="Times New Roman"/>
            <family val="1"/>
            <charset val="204"/>
          </rPr>
          <t>Отклонение факта от плана реализации денежных средств сложилось ввиду больничных, переноса отпусков муниципальных служащих управления по жилищной политике Администрации города Когалыма.</t>
        </r>
      </is>
    </oc>
    <nc r="AH44" t="inlineStr">
      <is>
        <r>
          <t xml:space="preserve">УпоЖП:
</t>
        </r>
        <r>
          <rPr>
            <sz val="12"/>
            <rFont val="Times New Roman"/>
            <family val="1"/>
            <charset val="204"/>
          </rPr>
          <t>Отклонение факта от плана реализации денежных средств сложилось ввиду того, что вновь принятые муниципальные служащие управления по жилищной политике Администрации города Когалыма не имеют стажа на муниципальной службе, в связи с чем надбавки за выслугу лет, классный чин и за особые условия труда начисляются в минимальном размере.</t>
        </r>
      </is>
    </nc>
  </rcc>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95" sId="8" numFmtId="4">
    <oc r="Q43">
      <v>0</v>
    </oc>
    <nc r="Q43">
      <v>815.7</v>
    </nc>
  </rcc>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AH65" start="0" length="2147483647">
    <dxf>
      <font>
        <i val="0"/>
      </font>
    </dxf>
  </rfmt>
  <rfmt sheetId="4" s="1" sqref="AH89" start="0" length="0">
    <dxf>
      <font>
        <sz val="14"/>
        <color auto="1"/>
        <name val="Times New Roman"/>
        <scheme val="none"/>
      </font>
      <alignment vertical="center" readingOrder="0"/>
    </dxf>
  </rfmt>
  <rcc rId="1996" sId="4">
    <oc r="AH89" t="inlineStr">
      <is>
        <t>АРТ - Отклонение 90,0 руб. - костюмы оплачиваются по факту поступления.                                                                                          ДС - В марте денежные средства запланированы в сумме 26,95  тыс. руб.,  Договор в стадии согласования. Денежные средства будут освоены в апреле.</t>
      </is>
    </oc>
    <nc r="AH89" t="inlineStr">
      <is>
        <t>АРТ - Отклонение 8,800руб. - экономия по костюмам: приобретены утепленные костюмы - 4 комплекта (куртка, брюки, шапка)</t>
      </is>
    </nc>
  </rcc>
  <rfmt sheetId="4" sqref="AH89" start="0" length="2147483647">
    <dxf>
      <font>
        <sz val="12"/>
      </font>
    </dxf>
  </rfmt>
  <rfmt sheetId="4" sqref="AH89">
    <dxf>
      <alignment vertical="top" readingOrder="0"/>
    </dxf>
  </rfmt>
  <rfmt sheetId="4" s="1" sqref="AH65" start="0" length="0">
    <dxf>
      <font>
        <sz val="14"/>
        <color auto="1"/>
        <name val="Times New Roman"/>
        <scheme val="none"/>
      </font>
      <fill>
        <patternFill patternType="none">
          <bgColor indexed="65"/>
        </patternFill>
      </fill>
      <alignment horizontal="left" readingOrder="0"/>
      <border outline="0">
        <bottom/>
      </border>
    </dxf>
  </rfmt>
  <rfmt sheetId="4" s="1" sqref="AH66" start="0" length="0">
    <dxf>
      <font>
        <sz val="14"/>
        <color auto="1"/>
        <name val="Times New Roman"/>
        <scheme val="none"/>
      </font>
      <alignment vertical="center" readingOrder="0"/>
      <border outline="0">
        <top/>
      </border>
    </dxf>
  </rfmt>
  <rfmt sheetId="4" sqref="AH67" start="0" length="0">
    <dxf>
      <font>
        <sz val="14"/>
        <color auto="1"/>
        <name val="Times New Roman"/>
        <scheme val="none"/>
      </font>
      <alignment vertical="center" wrapText="1" readingOrder="0"/>
      <border outline="0">
        <left style="thin">
          <color indexed="64"/>
        </left>
        <right style="thin">
          <color indexed="64"/>
        </right>
      </border>
    </dxf>
  </rfmt>
  <rfmt sheetId="4" sqref="AH68" start="0" length="0">
    <dxf>
      <font>
        <sz val="14"/>
        <color auto="1"/>
        <name val="Times New Roman"/>
        <scheme val="none"/>
      </font>
      <alignment vertical="center" wrapText="1" readingOrder="0"/>
      <border outline="0">
        <left style="thin">
          <color indexed="64"/>
        </left>
        <right style="thin">
          <color indexed="64"/>
        </right>
        <bottom style="thin">
          <color indexed="64"/>
        </bottom>
      </border>
    </dxf>
  </rfmt>
  <rcc rId="1997" sId="4">
    <nc r="AH65" t="inlineStr">
      <is>
        <t>АРТ - Отклонение 57831,890 тыс.руб. - средства НК "ЛУКОЙЛ": 49815,0 тыс. руб.  - на проведение юбилейных мероприятий (НК "ЛУКОЙЛ"), 23,090 тыс. руб. - экономия по мастер-классам на мер. "Юнтагор",  2966,800 тыс. руб. - на приобретение костюмов в рамках юбилейных мероприятий (НК "ЛУКОЙЛ"), 539,342 тыс. руб. - столы, 4345,358 тыс. руб. - шатры, 70,0 тыс. руб. костюмы "Юнтагор", 72,300 тыс. руб. - подарочные наборы для мер. "Я - это Ты"</t>
      </is>
    </nc>
  </rcc>
  <rfmt sheetId="4" sqref="AH65" start="0" length="2147483647">
    <dxf>
      <font>
        <sz val="12"/>
      </font>
    </dxf>
  </rfmt>
  <rfmt sheetId="4" sqref="AH61" start="0" length="0">
    <dxf>
      <font>
        <sz val="14"/>
        <color auto="1"/>
        <name val="Times New Roman"/>
        <scheme val="none"/>
      </font>
      <alignment vertical="center" readingOrder="0"/>
    </dxf>
  </rfmt>
  <rcc rId="1998" sId="4">
    <oc r="AH61">
      <f>'C:\Users\TihonovaLA\AppData\Local\Microsoft\Windows\Temporary Internet Files\Content.MSO\[Копия Сетевые графики на 01.05.2025.xlsx]разв.кул.'!$AF$18</f>
    </oc>
    <nc r="AH61" t="inlineStr">
      <is>
        <t>АРТ - Отклонение -340,553 тыс.руб. - в том числе: 184,015тыс. руб. - расходы в рамках участия в конкурсах-фестивалях не выплачивались в связи с переносом конкурса, 17,370,0 тыс. руб. - транспортные услуги в рамках новогодних мероприятий не оказывались, 14,792 тыс. руб.   -  оплата за участие в конкурсе-фестивале не производилась (перенос конкурса на более поздние сроки) ,3,126тыс. руб. - документы на потребление электроэнергии Снежного городка предоставлены на меньшую сумму, 121,250 тыс. руб. - оплата по мастер-классам в рамках проведения мер. "Юнтагор" сложилась ниже.</t>
      </is>
    </nc>
  </rcc>
  <rfmt sheetId="4" sqref="AH61" start="0" length="2147483647">
    <dxf>
      <font>
        <sz val="12"/>
      </font>
    </dxf>
  </rfmt>
  <rfmt sheetId="4" sqref="AH61">
    <dxf>
      <alignment vertical="top" readingOrder="0"/>
    </dxf>
  </rfmt>
  <rcc rId="1999" sId="4" odxf="1" dxf="1">
    <oc r="AH45" t="inlineStr">
      <is>
        <t>Отклонение возникло в размере: 132,37 т.р. в связи с отсутствием документов на оплату</t>
      </is>
    </oc>
    <nc r="AH45" t="inlineStr">
      <is>
        <t>Отклонение возникло в размере: 41,55 т.р. в связи с отсутствием документов на оплату</t>
      </is>
    </nc>
    <odxf>
      <font>
        <sz val="12"/>
        <name val="Times New Roman"/>
        <scheme val="none"/>
      </font>
      <alignment vertical="top" readingOrder="0"/>
    </odxf>
    <ndxf>
      <font>
        <sz val="11"/>
        <name val="Times New Roman"/>
        <scheme val="none"/>
      </font>
      <alignment vertical="center" readingOrder="0"/>
    </ndxf>
  </rcc>
  <rfmt sheetId="4" sqref="AH45">
    <dxf>
      <alignment vertical="top" readingOrder="0"/>
    </dxf>
  </rfmt>
  <rfmt sheetId="4" sqref="AH45" start="0" length="2147483647">
    <dxf>
      <font>
        <sz val="12"/>
      </font>
    </dxf>
  </rfmt>
  <rfmt sheetId="4" sqref="AH40" start="0" length="0">
    <dxf>
      <font>
        <sz val="12"/>
        <name val="Times New Roman"/>
        <scheme val="none"/>
      </font>
    </dxf>
  </rfmt>
  <rfmt sheetId="4" sqref="AH40" start="0" length="2147483647">
    <dxf>
      <font>
        <sz val="12"/>
      </font>
    </dxf>
  </rfmt>
  <rcc rId="2000" sId="4">
    <oc r="AH40" t="inlineStr">
      <is>
        <t xml:space="preserve">Отклонение возникло в размере:
-1337,2т.р -по оплате труда и начисления (наличие больничных листов, а также ср-ва по начислению на ЗП не востребовались, средства будут освоены в течение 2025г.)                                                                                                                                                                                                     - 8,1т.р.- услуги связи (в учреждении действует режим экономиии на телефонную связь)                                                                                                                                                                                                                                                                                                                                                                                                                                                                                                                                                                                                                                                                                                                                                                                                                                                                           
- 144,9т.р.-по коммунальным услугам (фактические показания счетчиков);
- 100,6т.р.-по работам и услугам по содержанию имущества (остаток средств по дог.на тех. обслуживание,содержание,тек. ремонт жил. фонда будет освоен в течение 2025г.)
- 149,57т.р.- прочие работы, услуги (остаток средств на физ. охрану объекта, командировочные расходы будет освоен в течение 2025г.)
- 29,1т.р.-увеличение стоимости прочих материальных запасов (остаток средств. в связи с отсутствием документов на оплату будет освоен в течение 2025г.)
- 1,2 т.р. -налоги (остаток средств будет освоен в феврале 2025г.)
- 24,5 т.р.-социальные компенсации персоналу в натуральной форме (остаток средств будет освоен в течение 2025г.)  
- 27,2 т.р.-прочие несоциальные выплаты персоналу в натуральной форме (остаток средств будет освоен в течение 2025г.)                                                                                                                                                                                                                                                                                                                                                                                                                                                                                                                                                                                                                                                                                                                                                                                                                                                                                         </t>
      </is>
    </oc>
    <nc r="AH40" t="inlineStr">
      <is>
        <t xml:space="preserve">Отклонение возникло в размере:
- 1,0 т.р -по оплате труда и начисления (наличие больничных листов, а также ср-ва по начислению на ЗП не востребовались, средства будут освоены в течение 2025 году)
- 11,9 т.р.- услуги связи (в учреждении действует режим экономиии на телефонную связь)                                                                                                                                                                                                                                                                                                                                                                                                                                                                                                                                                                                                                                                                                                                                                                                                                                                                           
- 181,0 т.р.-по коммунальным услугам (фактические показания счетчиков);
- 77,0 т.р.-по работам и услугам по содержанию имущества (остаток средств по контрактам: на тех. обслуживание,содержание,тек. ремонт жил. фонда и на производственный контроль. Будет освоен в течение 2025г.)
- 86,73 т.р.- прочие работы, услуги (остаток средств на физ. охрану объекта, командировочные расходы будет освоен в течение 2025г.)
- 159,9 т.р.-увеличение стоимости прочих материальных запасов (остаток средств. в связи с отсутствием документов на оплату будет освоен в течение 2025г.)
- 9,96 т.р. -увеличение стоимости основных средств (остаток средств. в связи с отсутствием документов на оплату будет освоен в течение 2025г.)
- 24,5 т.р.-социальные компенсации персоналу в натуральной форме (остаток средств будет освоен в течение 2025г.)  
- 24,7 т.р.-прочие несоциальные выплаты персоналу в натуральной форме (остаток средств будет освоен в течение 2025г.)                                                                                                                                                                                                                                                                                                                                                                                                                                                                                                                                                                                                                                                                                                                                                                                                                                                                                         </t>
      </is>
    </nc>
  </rcc>
  <rcc rId="2001" sId="4" odxf="1" s="1" dxf="1">
    <nc r="AH26" t="inlineStr">
      <is>
        <t>Остаток, в связи с переплатой из месного бюджета в январе и феврале месяцах по выставленным счетам. Остаток будет закрыт в течении текущего года.</t>
      </is>
    </nc>
    <odxf>
      <font>
        <b/>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b val="0"/>
        <i/>
        <sz val="12"/>
        <color auto="1"/>
        <name val="Times New Roman"/>
        <scheme val="none"/>
      </font>
      <fill>
        <patternFill patternType="solid">
          <bgColor theme="0"/>
        </patternFill>
      </fill>
    </ndxf>
  </rcc>
  <rfmt sheetId="4" sqref="AH26" start="0" length="2147483647">
    <dxf>
      <font>
        <i val="0"/>
      </font>
    </dxf>
  </rfmt>
  <rcc rId="2002" sId="4" odxf="1" dxf="1">
    <oc r="AH54" t="inlineStr">
      <is>
        <t>Остаток средств в сумме 110,0 т.руб.- в т.ч. транспортные расходы - 60,0 руб.,   прочее приобретение - 50 т.руб.,оплата по факту на основании документов на оплату,  акта выполненных работ, средства будут использованы в апреле.</t>
      </is>
    </oc>
    <nc r="AH54" t="inlineStr">
      <is>
        <t>Остаток средств в сумме 147,0 т.руб.- в т.ч. транспортные расходы - 70,0 руб.,   прочее приобретение - 77,0 т.руб.,оплата по факту на основании документов на оплату,  акта выполненных работ, средства будут использованы в мае.</t>
      </is>
    </nc>
    <odxf>
      <font>
        <b val="0"/>
        <sz val="12"/>
        <color auto="1"/>
        <name val="Times New Roman"/>
        <scheme val="none"/>
      </font>
      <alignment vertical="top" readingOrder="0"/>
    </odxf>
    <ndxf>
      <font>
        <b/>
        <sz val="12"/>
        <color auto="1"/>
        <name val="Times New Roman"/>
        <scheme val="none"/>
      </font>
      <alignment vertical="center" readingOrder="0"/>
    </ndxf>
  </rcc>
  <rfmt sheetId="4" sqref="AH54" start="0" length="2147483647">
    <dxf>
      <font>
        <b val="0"/>
      </font>
    </dxf>
  </rfmt>
  <rfmt sheetId="4" sqref="AH54" start="0" length="2147483647">
    <dxf>
      <font>
        <sz val="12"/>
      </font>
    </dxf>
  </rfmt>
  <rfmt sheetId="4" sqref="AH54">
    <dxf>
      <alignment vertical="top" readingOrder="0"/>
    </dxf>
  </rfmt>
  <rcc rId="2003" sId="4" odxf="1" s="1" dxf="1">
    <nc r="AH57" t="inlineStr">
      <is>
        <t>Остаток средств в сумме 239,2 т.руб.- в т.ч. Приобретение ОС - 239,20 т.руб.,оплата по факту на основании документов на оплату и товарных накладных, средства будут использованы в мае.</t>
      </is>
    </nc>
    <odxf>
      <font>
        <b/>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1"/>
        <color auto="1"/>
        <name val="Times New Roman"/>
        <scheme val="none"/>
      </font>
      <alignment horizontal="justify" readingOrder="0"/>
    </ndxf>
  </rcc>
  <rfmt sheetId="4" sqref="AH57" start="0" length="2147483647">
    <dxf>
      <font>
        <b val="0"/>
      </font>
    </dxf>
  </rfmt>
  <rfmt sheetId="4" sqref="AH57" start="0" length="2147483647">
    <dxf>
      <font>
        <sz val="12"/>
      </font>
    </dxf>
  </rfmt>
  <rfmt sheetId="4" sqref="AH57">
    <dxf>
      <alignment vertical="top" readingOrder="0"/>
    </dxf>
  </rfmt>
  <rcc rId="2004" sId="4" odxf="1" dxf="1">
    <oc r="AH47" t="inlineStr">
      <is>
        <t>Остаток средств в сумме 9 699,370  т.руб., в т.ч.  остаток по  выплате заработной платы и соц.выплат   - 5 499,954  т.р. , начисл. на зар.плату - 2 103,638 т.руб., оплаты за коммунальные услуги по фактическим расходам и показаниям счетчиков- 343,663 т.р.,оплаты за содержание здания по факту предоставленных документов на оплату от поставщика - 957,181 т.руб., оплата услуг связи - 66,236 т.руб., оплата б/л за счет ср-в работод - 143,113 т.руб.оплаты налога на имущество - 446,105 т.руб.оплата командировочных- 39,480 т.руб., прочие выплаты - 100,0 т.руб.</t>
      </is>
    </oc>
    <nc r="AH47" t="inlineStr">
      <is>
        <t>Остаток средств в сумме 7 055,794 т.руб., в т.ч.  остаток по  выплате заработной платы и соц.выплат   - 3 443,208  т.р. , начисл. на зар.плату - 1 542,106 т.руб., оплаты за коммунальные услуги по фактическим расходам и показаниям счетчиков- 400,581 т.р.,оплаты за содержание здания по факту предоставленных документов на оплату от поставщика - 980,817 т.руб., оплата услуг связи - 56,627 т.руб., оплата б/л за счет ср-в работод - 80,695  т.руб.оплаты налога на имущество - 436,369 т.руб.оплата командировочных- 29,760 т.руб., прочие выплаты - 36,769 т.руб.,оплата проезда в отпуск и обратно - 48,862 т.руб.,сан.кур.-0,0 т.руб</t>
      </is>
    </nc>
    <odxf>
      <font>
        <b val="0"/>
        <sz val="12"/>
        <color auto="1"/>
        <name val="Times New Roman"/>
        <scheme val="none"/>
      </font>
      <alignment vertical="top" readingOrder="0"/>
    </odxf>
    <ndxf>
      <font>
        <b/>
        <sz val="10"/>
        <color auto="1"/>
        <name val="Times New Roman"/>
        <scheme val="none"/>
      </font>
      <alignment vertical="center" readingOrder="0"/>
    </ndxf>
  </rcc>
  <rfmt sheetId="4" sqref="AH47" start="0" length="2147483647">
    <dxf>
      <font>
        <b val="0"/>
      </font>
    </dxf>
  </rfmt>
  <rfmt sheetId="4" sqref="AH47" start="0" length="2147483647">
    <dxf>
      <font>
        <sz val="12"/>
      </font>
    </dxf>
  </rfmt>
  <rfmt sheetId="4" sqref="AH66" start="0" length="0">
    <dxf>
      <font>
        <b/>
        <sz val="14"/>
        <color auto="1"/>
        <name val="Times New Roman"/>
        <scheme val="none"/>
      </font>
      <alignment horizontal="justify" readingOrder="0"/>
      <border outline="0">
        <top style="thin">
          <color indexed="64"/>
        </top>
        <bottom style="thin">
          <color indexed="64"/>
        </bottom>
      </border>
    </dxf>
  </rfmt>
  <rfmt sheetId="4" sqref="AH66" start="0" length="2147483647">
    <dxf>
      <font>
        <b val="0"/>
      </font>
    </dxf>
  </rfmt>
  <rfmt sheetId="4" sqref="AH66" start="0" length="2147483647">
    <dxf>
      <font>
        <sz val="12"/>
      </font>
    </dxf>
  </rfmt>
  <rfmt sheetId="4" sqref="AH66">
    <dxf>
      <alignment vertical="top" readingOrder="0"/>
    </dxf>
  </rfmt>
  <rcc rId="2005" sId="4">
    <nc r="AH66" t="inlineStr">
      <is>
        <t>МВЦ - Остаток средств в сумме 3150,0 т.руб.- в т.ч. транспортные расходы - 150,0 руб.,   прочие услуги -100,0 т.руб., приобретение ОС - 2 821,240 т.руб., прочее приобретение - 78,760 т.руб.,оплата по факту на основании документов на оплату,  товарных накладных и акта выполненных работ, средства будут использованы в мае.</t>
      </is>
    </nc>
  </rcc>
  <rfmt sheetId="4" s="1" sqref="AH77" start="0" length="0">
    <dxf>
      <font>
        <b/>
        <i val="0"/>
        <sz val="10"/>
        <color auto="1"/>
        <name val="Times New Roman"/>
        <scheme val="none"/>
      </font>
      <alignment horizontal="justify" readingOrder="0"/>
    </dxf>
  </rfmt>
  <rfmt sheetId="4" sqref="AH77" start="0" length="2147483647">
    <dxf>
      <font>
        <b val="0"/>
      </font>
    </dxf>
  </rfmt>
  <rfmt sheetId="4" sqref="AH77" start="0" length="2147483647">
    <dxf>
      <font>
        <sz val="12"/>
      </font>
    </dxf>
  </rfmt>
  <rcc rId="2006" sId="4">
    <oc r="AH76" t="inlineStr">
      <is>
        <t>АРТ - Отклонение 7858,509 руб. - новогодние светодиодные фигуры, костюмы оплачиваются по факту поступления.</t>
      </is>
    </oc>
    <nc r="AH76" t="inlineStr">
      <is>
        <t>АРТ - Отклонение 7858,509 руб. - новогодние светодиодные фигуры, костюмы оплачиваются по факту поступления.                                                                                                                                      МВЦ - Остаток средств в сумме -1 555,701 т.руб., в т.ч., оплата командировочных расходов- 188,335 т.руб.,  прочие услуги -175,0 т.руб., приобретение ОС - 18,8 т.руб., сувенирная продукция - 1 173,566 т.руб., оплата по факту на основании документов на оплату, товарных накладных и акта выполненных работ, средства будут использованы в мае.</t>
      </is>
    </nc>
  </rcc>
  <rcv guid="{2940A182-D1A7-43C5-8D6E-965BED4371B0}" action="delete"/>
  <rdn rId="0" localSheetId="1" customView="1" name="Z_2940A182_D1A7_43C5_8D6E_965BED4371B0_.wvu.Rows" hidden="1" oldHidden="1">
    <formula>'1. РО'!$28:$28,'1. РО'!$32:$32,'1. РО'!$52:$52,'1. РО'!$59:$59,'1. РО'!$71:$71,'1. РО'!$75:$75</formula>
    <oldFormula>'1. РО'!$28:$28,'1. РО'!$32:$32,'1. РО'!$52:$52,'1. РО'!$59:$59,'1. РО'!$71:$71,'1. РО'!$75:$75</oldFormula>
  </rdn>
  <rdn rId="0" localSheetId="4" customView="1" name="Z_2940A182_D1A7_43C5_8D6E_965BED4371B0_.wvu.Rows" hidden="1" oldHidden="1">
    <formula>'4. КП'!$23:$23,'4. КП'!$27:$27,'4. КП'!$68:$68,'4. КП'!$75:$75,'4. КП'!$83:$83,'4. КП'!$87:$88,'4. КП'!$91:$91,'4. КП'!$93:$93</formula>
    <oldFormula>'4. КП'!$23:$23,'4. КП'!$27:$27,'4. КП'!$68:$68,'4. КП'!$75:$75,'4. КП'!$83:$83,'4. КП'!$87:$88,'4. КП'!$91:$91,'4. КП'!$93:$93</oldFormula>
  </rdn>
  <rdn rId="0" localSheetId="5" customView="1" name="Z_2940A182_D1A7_43C5_8D6E_965BED4371B0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2940A182_D1A7_43C5_8D6E_965BED4371B0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2940A182_D1A7_43C5_8D6E_965BED4371B0_.wvu.Rows" hidden="1" oldHidden="1">
    <formula>'9. РЖКК'!$14:$14,'9. РЖКК'!$28:$28</formula>
    <oldFormula>'9. РЖКК'!$14:$14,'9. РЖКК'!$28:$28</oldFormula>
  </rdn>
  <rdn rId="0" localSheetId="14" customView="1" name="Z_2940A182_D1A7_43C5_8D6E_965BED4371B0_.wvu.Rows" hidden="1" oldHidden="1">
    <formula>'14. РТС'!$14:$15,'14. РТС'!$19:$19,'14. РТС'!$30:$30,'14. РТС'!$33:$33,'14. РТС'!$36:$36,'14. РТС'!$43:$43</formula>
    <oldFormula>'14. РТС'!$14:$15,'14. РТС'!$19:$19,'14. РТС'!$30:$30,'14. РТС'!$33:$33,'14. РТС'!$36:$36,'14. РТС'!$43:$43</oldFormula>
  </rdn>
  <rdn rId="0" localSheetId="20" customView="1" name="Z_2940A182_D1A7_43C5_8D6E_965BED4371B0_.wvu.Rows" hidden="1" oldHidden="1">
    <formula>'20. МСП'!$19:$19</formula>
    <oldFormula>'20. МСП'!$19:$19</oldFormula>
  </rdn>
  <rcv guid="{2940A182-D1A7-43C5-8D6E-965BED4371B0}" action="add"/>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14" sId="4">
    <oc r="AH26" t="inlineStr">
      <is>
        <t>Остаток, в связи с переплатой из месного бюджета в январе и феврале месяцах по выставленным счетам. Остаток будет закрыт в течении текущего года.</t>
      </is>
    </oc>
    <nc r="AH26"/>
  </rcc>
  <rcc rId="2015" sId="4">
    <oc r="AH40" t="inlineStr">
      <is>
        <t xml:space="preserve">Отклонение возникло в размере:
- 1,0 т.р -по оплате труда и начисления (наличие больничных листов, а также ср-ва по начислению на ЗП не востребовались, средства будут освоены в течение 2025 году)
- 11,9 т.р.- услуги связи (в учреждении действует режим экономиии на телефонную связь)                                                                                                                                                                                                                                                                                                                                                                                                                                                                                                                                                                                                                                                                                                                                                                                                                                                                           
- 181,0 т.р.-по коммунальным услугам (фактические показания счетчиков);
- 77,0 т.р.-по работам и услугам по содержанию имущества (остаток средств по контрактам: на тех. обслуживание,содержание,тек. ремонт жил. фонда и на производственный контроль. Будет освоен в течение 2025г.)
- 86,73 т.р.- прочие работы, услуги (остаток средств на физ. охрану объекта, командировочные расходы будет освоен в течение 2025г.)
- 159,9 т.р.-увеличение стоимости прочих материальных запасов (остаток средств. в связи с отсутствием документов на оплату будет освоен в течение 2025г.)
- 9,96 т.р. -увеличение стоимости основных средств (остаток средств. в связи с отсутствием документов на оплату будет освоен в течение 2025г.)
- 24,5 т.р.-социальные компенсации персоналу в натуральной форме (остаток средств будет освоен в течение 2025г.)  
- 24,7 т.р.-прочие несоциальные выплаты персоналу в натуральной форме (остаток средств будет освоен в течение 2025г.)                                                                                                                                                                                                                                                                                                                                                                                                                                                                                                                                                                                                                                                                                                                                                                                                                                                                                         </t>
      </is>
    </oc>
    <nc r="AH40"/>
  </rcc>
  <rcc rId="2016" sId="4">
    <oc r="AH45" t="inlineStr">
      <is>
        <t>Отклонение возникло в размере: 41,55 т.р. в связи с отсутствием документов на оплату</t>
      </is>
    </oc>
    <nc r="AH45"/>
  </rcc>
  <rcc rId="2017" sId="4">
    <oc r="AH47" t="inlineStr">
      <is>
        <t>Остаток средств в сумме 7 055,794 т.руб., в т.ч.  остаток по  выплате заработной платы и соц.выплат   - 3 443,208  т.р. , начисл. на зар.плату - 1 542,106 т.руб., оплаты за коммунальные услуги по фактическим расходам и показаниям счетчиков- 400,581 т.р.,оплаты за содержание здания по факту предоставленных документов на оплату от поставщика - 980,817 т.руб., оплата услуг связи - 56,627 т.руб., оплата б/л за счет ср-в работод - 80,695  т.руб.оплаты налога на имущество - 436,369 т.руб.оплата командировочных- 29,760 т.руб., прочие выплаты - 36,769 т.руб.,оплата проезда в отпуск и обратно - 48,862 т.руб.,сан.кур.-0,0 т.руб</t>
      </is>
    </oc>
    <nc r="AH47"/>
  </rcc>
  <rcc rId="2018" sId="4">
    <oc r="AH54" t="inlineStr">
      <is>
        <t>Остаток средств в сумме 147,0 т.руб.- в т.ч. транспортные расходы - 70,0 руб.,   прочее приобретение - 77,0 т.руб.,оплата по факту на основании документов на оплату,  акта выполненных работ, средства будут использованы в мае.</t>
      </is>
    </oc>
    <nc r="AH54"/>
  </rcc>
  <rcc rId="2019" sId="4">
    <oc r="AH57" t="inlineStr">
      <is>
        <t>Остаток средств в сумме 239,2 т.руб.- в т.ч. Приобретение ОС - 239,20 т.руб.,оплата по факту на основании документов на оплату и товарных накладных, средства будут использованы в мае.</t>
      </is>
    </oc>
    <nc r="AH57"/>
  </rcc>
  <rcc rId="2020" sId="4">
    <oc r="AH59">
      <f>'C:\Users\TihonovaLA\AppData\Local\Microsoft\Windows\Temporary Internet Files\Content.MSO\[Копия Сетевые графики на 01.05.2025.xlsx]разв.кул.'!$AF$10</f>
    </oc>
    <nc r="AH59"/>
  </rcc>
  <rcc rId="2021" sId="4">
    <oc r="AH60">
      <f>'C:\Users\TihonovaLA\AppData\Local\Microsoft\Windows\Temporary Internet Files\Content.MSO\[Копия Сетевые графики на 01.05.2025.xlsx]разв.кул.'!$AF$17</f>
    </oc>
    <nc r="AH60"/>
  </rcc>
  <rcc rId="2022" sId="4">
    <oc r="AH61" t="inlineStr">
      <is>
        <t>АРТ - Отклонение -340,553 тыс.руб. - в том числе: 184,015тыс. руб. - расходы в рамках участия в конкурсах-фестивалях не выплачивались в связи с переносом конкурса, 17,370,0 тыс. руб. - транспортные услуги в рамках новогодних мероприятий не оказывались, 14,792 тыс. руб.   -  оплата за участие в конкурсе-фестивале не производилась (перенос конкурса на более поздние сроки) ,3,126тыс. руб. - документы на потребление электроэнергии Снежного городка предоставлены на меньшую сумму, 121,250 тыс. руб. - оплата по мастер-классам в рамках проведения мер. "Юнтагор" сложилась ниже.</t>
      </is>
    </oc>
    <nc r="AH61"/>
  </rcc>
  <rcc rId="2023" sId="4">
    <oc r="AH65" t="inlineStr">
      <is>
        <t>АРТ - Отклонение 57831,890 тыс.руб. - средства НК "ЛУКОЙЛ": 49815,0 тыс. руб.  - на проведение юбилейных мероприятий (НК "ЛУКОЙЛ"), 23,090 тыс. руб. - экономия по мастер-классам на мер. "Юнтагор",  2966,800 тыс. руб. - на приобретение костюмов в рамках юбилейных мероприятий (НК "ЛУКОЙЛ"), 539,342 тыс. руб. - столы, 4345,358 тыс. руб. - шатры, 70,0 тыс. руб. костюмы "Юнтагор", 72,300 тыс. руб. - подарочные наборы для мер. "Я - это Ты"</t>
      </is>
    </oc>
    <nc r="AH65"/>
  </rcc>
  <rcc rId="2024" sId="4">
    <oc r="AH66" t="inlineStr">
      <is>
        <t>МВЦ - Остаток средств в сумме 3150,0 т.руб.- в т.ч. транспортные расходы - 150,0 руб.,   прочие услуги -100,0 т.руб., приобретение ОС - 2 821,240 т.руб., прочее приобретение - 78,760 т.руб.,оплата по факту на основании документов на оплату,  товарных накладных и акта выполненных работ, средства будут использованы в мае.</t>
      </is>
    </oc>
    <nc r="AH66"/>
  </rcc>
  <rcc rId="2025" sId="4" numFmtId="4">
    <oc r="AH75">
      <v>0</v>
    </oc>
    <nc r="AH75"/>
  </rcc>
  <rcc rId="2026" sId="4">
    <oc r="AH76" t="inlineStr">
      <is>
        <t>АРТ - Отклонение 7858,509 руб. - новогодние светодиодные фигуры, костюмы оплачиваются по факту поступления.                                                                                                                                      МВЦ - Остаток средств в сумме -1 555,701 т.руб., в т.ч., оплата командировочных расходов- 188,335 т.руб.,  прочие услуги -175,0 т.руб., приобретение ОС - 18,8 т.руб., сувенирная продукция - 1 173,566 т.руб., оплата по факту на основании документов на оплату, товарных накладных и акта выполненных работ, средства будут использованы в мае.</t>
      </is>
    </oc>
    <nc r="AH76"/>
  </rcc>
  <rcc rId="2027" sId="4">
    <oc r="AH80" t="inlineStr">
      <is>
        <t>Остаток средств в сумме -477,733 т.руб., в т.ч., оплата командировочных расходов- 167,733 т.руб.,  прочие услуги -100,0 т.руб., сувенирная продукция - 210,0 т.руб., оплата по факту на основании документов на оплату, товарных накладных и акта выполненных работ, средства будут использованы в апреле.</t>
      </is>
    </oc>
    <nc r="AH80"/>
  </rcc>
  <rcc rId="2028" sId="4">
    <oc r="AH86" t="inlineStr">
      <is>
        <t>В марте денежные средства запланированы в сумме 26,95  тыс. руб.,  Договор в стадии согласования. Денежные средства будут освоены в апреле.</t>
      </is>
    </oc>
    <nc r="AH86"/>
  </rcc>
  <rcc rId="2029" sId="4">
    <oc r="AH89" t="inlineStr">
      <is>
        <t>АРТ - Отклонение 8,800руб. - экономия по костюмам: приобретены утепленные костюмы - 4 комплекта (куртка, брюки, шапка)</t>
      </is>
    </oc>
    <nc r="AH89"/>
  </rcc>
  <rcv guid="{2940A182-D1A7-43C5-8D6E-965BED4371B0}" action="delete"/>
  <rdn rId="0" localSheetId="1" customView="1" name="Z_2940A182_D1A7_43C5_8D6E_965BED4371B0_.wvu.Rows" hidden="1" oldHidden="1">
    <formula>'1. РО'!$28:$28,'1. РО'!$32:$32,'1. РО'!$52:$52,'1. РО'!$59:$59,'1. РО'!$71:$71,'1. РО'!$75:$75</formula>
    <oldFormula>'1. РО'!$28:$28,'1. РО'!$32:$32,'1. РО'!$52:$52,'1. РО'!$59:$59,'1. РО'!$71:$71,'1. РО'!$75:$75</oldFormula>
  </rdn>
  <rdn rId="0" localSheetId="4" customView="1" name="Z_2940A182_D1A7_43C5_8D6E_965BED4371B0_.wvu.Rows" hidden="1" oldHidden="1">
    <formula>'4. КП'!$23:$23,'4. КП'!$27:$27,'4. КП'!$68:$68,'4. КП'!$75:$75,'4. КП'!$83:$83,'4. КП'!$87:$88,'4. КП'!$91:$91,'4. КП'!$93:$93</formula>
    <oldFormula>'4. КП'!$23:$23,'4. КП'!$27:$27,'4. КП'!$68:$68,'4. КП'!$75:$75,'4. КП'!$83:$83,'4. КП'!$87:$88,'4. КП'!$91:$91,'4. КП'!$93:$93</oldFormula>
  </rdn>
  <rdn rId="0" localSheetId="5" customView="1" name="Z_2940A182_D1A7_43C5_8D6E_965BED4371B0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2940A182_D1A7_43C5_8D6E_965BED4371B0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2940A182_D1A7_43C5_8D6E_965BED4371B0_.wvu.Rows" hidden="1" oldHidden="1">
    <formula>'9. РЖКК'!$14:$14,'9. РЖКК'!$28:$28</formula>
    <oldFormula>'9. РЖКК'!$14:$14,'9. РЖКК'!$28:$28</oldFormula>
  </rdn>
  <rdn rId="0" localSheetId="14" customView="1" name="Z_2940A182_D1A7_43C5_8D6E_965BED4371B0_.wvu.Rows" hidden="1" oldHidden="1">
    <formula>'14. РТС'!$14:$15,'14. РТС'!$19:$19,'14. РТС'!$30:$30,'14. РТС'!$33:$33,'14. РТС'!$36:$36,'14. РТС'!$43:$43</formula>
    <oldFormula>'14. РТС'!$14:$15,'14. РТС'!$19:$19,'14. РТС'!$30:$30,'14. РТС'!$33:$33,'14. РТС'!$36:$36,'14. РТС'!$43:$43</oldFormula>
  </rdn>
  <rdn rId="0" localSheetId="20" customView="1" name="Z_2940A182_D1A7_43C5_8D6E_965BED4371B0_.wvu.Rows" hidden="1" oldHidden="1">
    <formula>'20. МСП'!$19:$19</formula>
    <oldFormula>'20. МСП'!$19:$19</oldFormula>
  </rdn>
  <rcv guid="{2940A182-D1A7-43C5-8D6E-965BED4371B0}" action="add"/>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37" sId="4" numFmtId="4">
    <oc r="Q100">
      <v>499.77199999999999</v>
    </oc>
    <nc r="Q100">
      <v>0</v>
    </nc>
  </rcc>
  <rcc rId="2038" sId="4" numFmtId="4">
    <oc r="Q98">
      <v>888.25900000000001</v>
    </oc>
    <nc r="Q98">
      <v>0</v>
    </nc>
  </rcc>
  <rcc rId="2039" sId="4" numFmtId="4">
    <oc r="Q96">
      <f>Q98+Q100</f>
    </oc>
    <nc r="Q96">
      <v>0</v>
    </nc>
  </rcc>
  <rcc rId="2040" sId="4" numFmtId="4">
    <oc r="Q89">
      <v>96.3</v>
    </oc>
    <nc r="Q89">
      <v>0</v>
    </nc>
  </rcc>
  <rcc rId="2041" sId="4" numFmtId="4">
    <oc r="Q85">
      <f>Q89</f>
    </oc>
    <nc r="Q85">
      <v>0</v>
    </nc>
  </rcc>
  <rcc rId="2042" sId="4" numFmtId="4">
    <oc r="Q81">
      <v>1850.6320000000001</v>
    </oc>
    <nc r="Q81">
      <v>0</v>
    </nc>
  </rcc>
  <rcc rId="2043" sId="4" numFmtId="4">
    <oc r="Q79">
      <v>374.98</v>
    </oc>
    <nc r="Q79">
      <v>0</v>
    </nc>
  </rcc>
  <rcc rId="2044" sId="4" numFmtId="4">
    <oc r="Q78">
      <v>15437.18</v>
    </oc>
    <nc r="Q78">
      <v>0</v>
    </nc>
  </rcc>
  <rcc rId="2045" sId="4" numFmtId="4">
    <oc r="Q76">
      <v>3038.9690000000001</v>
    </oc>
    <nc r="Q76">
      <v>0</v>
    </nc>
  </rcc>
  <rcc rId="2046" sId="4" numFmtId="4">
    <oc r="Q66">
      <v>1572.81</v>
    </oc>
    <nc r="Q66">
      <v>0</v>
    </nc>
  </rcc>
  <rcc rId="2047" sId="4" numFmtId="4">
    <oc r="Q62">
      <v>1432.7929999999999</v>
    </oc>
    <nc r="Q62">
      <v>0</v>
    </nc>
  </rcc>
  <rcc rId="2048" sId="4" numFmtId="4">
    <oc r="Q60">
      <v>1591.8789999999999</v>
    </oc>
    <nc r="Q60">
      <v>0</v>
    </nc>
  </rcc>
  <rcc rId="2049" sId="4" numFmtId="4">
    <oc r="Q59">
      <v>14894.413</v>
    </oc>
    <nc r="Q59">
      <v>0</v>
    </nc>
  </rcc>
  <rcc rId="2050" sId="4" numFmtId="4">
    <oc r="Q57">
      <v>195</v>
    </oc>
    <nc r="Q57">
      <v>0</v>
    </nc>
  </rcc>
  <rcc rId="2051" sId="4" numFmtId="4">
    <oc r="Q55">
      <v>134.19999999999999</v>
    </oc>
    <nc r="Q55">
      <v>0</v>
    </nc>
  </rcc>
  <rcc rId="2052" sId="4" numFmtId="4">
    <oc r="Q49">
      <v>537.74300000000005</v>
    </oc>
    <nc r="Q49">
      <v>0</v>
    </nc>
  </rcc>
  <rcc rId="2053" sId="4" numFmtId="4">
    <oc r="Q48">
      <v>9233.7759999999998</v>
    </oc>
    <nc r="Q48">
      <v>0</v>
    </nc>
  </rcc>
  <rcc rId="2054" sId="4" numFmtId="4">
    <oc r="Q46">
      <v>90.82</v>
    </oc>
    <nc r="Q46">
      <v>0</v>
    </nc>
  </rcc>
  <rcc rId="2055" sId="4" numFmtId="4">
    <oc r="Q42">
      <v>5.7</v>
    </oc>
    <nc r="Q42">
      <v>0</v>
    </nc>
  </rcc>
  <rcc rId="2056" sId="4" numFmtId="4">
    <oc r="Q41">
      <v>7274.08</v>
    </oc>
    <nc r="Q41">
      <v>0</v>
    </nc>
  </rcc>
  <rcc rId="2057" sId="4" numFmtId="4">
    <oc r="Q33">
      <v>31</v>
    </oc>
    <nc r="Q33">
      <v>0</v>
    </nc>
  </rcc>
  <rcc rId="2058" sId="4" numFmtId="4">
    <oc r="Q32">
      <v>926.59</v>
    </oc>
    <nc r="Q32">
      <v>0</v>
    </nc>
  </rcc>
  <rcc rId="2059" sId="4" numFmtId="4">
    <oc r="Q31">
      <v>592.41</v>
    </oc>
    <nc r="Q31">
      <v>0</v>
    </nc>
  </rcc>
  <rcc rId="2060" sId="4" numFmtId="4">
    <oc r="Q29">
      <v>7.38</v>
    </oc>
    <nc r="Q29">
      <v>0</v>
    </nc>
  </rcc>
  <rcc rId="2061" sId="4" numFmtId="4">
    <oc r="Q28">
      <v>2.9</v>
    </oc>
    <nc r="Q28">
      <v>0</v>
    </nc>
  </rcc>
  <rcc rId="2062" sId="4" numFmtId="4">
    <oc r="Q25">
      <v>1.55</v>
    </oc>
    <nc r="Q25">
      <v>0</v>
    </nc>
  </rcc>
  <rcc rId="2063" sId="4" numFmtId="4">
    <oc r="Q24">
      <v>10.1</v>
    </oc>
    <nc r="Q24">
      <v>0</v>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30" sId="9" numFmtId="4">
    <oc r="D16">
      <f>SUM(J16,L16,N16,P16,R16,T16,V16,X16,Z16,AB16,AD16,AF16)</f>
    </oc>
    <nc r="D16">
      <v>30654.02</v>
    </nc>
  </rcc>
  <rcc rId="1431" sId="9" numFmtId="4">
    <oc r="E16">
      <f>J16</f>
    </oc>
    <nc r="E16">
      <v>2235.88</v>
    </nc>
  </rcc>
  <rcc rId="1432" sId="9" numFmtId="4">
    <oc r="F16">
      <f>G16</f>
    </oc>
    <nc r="F16">
      <v>2235.88</v>
    </nc>
  </rcc>
  <rcc rId="1433" sId="9" numFmtId="4">
    <oc r="G16">
      <f>SUM(K16,M16,O16,Q16,S16,U16,W16,Y16,AA16,AC16,AE16,AG16)</f>
    </oc>
    <nc r="G16">
      <v>2235.88</v>
    </nc>
  </rcc>
  <rcc rId="1434" sId="9">
    <oc r="H16">
      <f>IFERROR(G16/D16*100,0)</f>
    </oc>
    <nc r="H16">
      <f>IFERROR(G16/D16*100,K17)</f>
    </nc>
  </rcc>
  <rdn rId="0" localSheetId="1" customView="1" name="Z_30B635D9_57DB_47D5_8A0F_4B30DD769960_.wvu.Rows" hidden="1" oldHidden="1">
    <formula>'1. РО'!$28:$28,'1. РО'!$32:$32,'1. РО'!$52:$52,'1. РО'!$59:$59,'1. РО'!$71:$71,'1. РО'!$75:$75</formula>
  </rdn>
  <rdn rId="0" localSheetId="4" customView="1" name="Z_30B635D9_57DB_47D5_8A0F_4B30DD769960_.wvu.Rows" hidden="1" oldHidden="1">
    <formula>'4. КП'!$23:$23,'4. КП'!$27:$27,'4. КП'!$68:$68,'4. КП'!$75:$75,'4. КП'!$83:$83,'4. КП'!$87:$88,'4. КП'!$91:$91,'4. КП'!$93:$93</formula>
  </rdn>
  <rdn rId="0" localSheetId="5" customView="1" name="Z_30B635D9_57DB_47D5_8A0F_4B30DD769960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rdn>
  <rdn rId="0" localSheetId="6" customView="1" name="Z_30B635D9_57DB_47D5_8A0F_4B30DD769960_.wvu.Rows" hidden="1" oldHidden="1">
    <formula>'6. СЗН'!$9:$9,'6. СЗН'!$14:$14,'6. СЗН'!$18:$18,'6. СЗН'!$22:$22,'6. СЗН'!$26:$26,'6. СЗН'!$30:$31,'6. СЗН'!$34:$34,'6. СЗН'!$36:$36,'6. СЗН'!$39:$39,'6. СЗН'!$43:$43,'6. СЗН'!$45:$45,'6. СЗН'!$47:$48</formula>
  </rdn>
  <rdn rId="0" localSheetId="9" customView="1" name="Z_30B635D9_57DB_47D5_8A0F_4B30DD769960_.wvu.Rows" hidden="1" oldHidden="1">
    <formula>'9. РЖКК'!$14:$14,'9. РЖКК'!$28:$28</formula>
  </rdn>
  <rdn rId="0" localSheetId="14" customView="1" name="Z_30B635D9_57DB_47D5_8A0F_4B30DD769960_.wvu.Rows" hidden="1" oldHidden="1">
    <formula>'14. РТС'!$14:$15,'14. РТС'!$19:$19,'14. РТС'!$30:$30,'14. РТС'!$33:$33,'14. РТС'!$36:$36,'14. РТС'!$43:$43</formula>
  </rdn>
  <rdn rId="0" localSheetId="20" customView="1" name="Z_30B635D9_57DB_47D5_8A0F_4B30DD769960_.wvu.Rows" hidden="1" oldHidden="1">
    <formula>'20. МСП'!$19:$19</formula>
  </rdn>
  <rcv guid="{30B635D9-57DB-47D5-8A0F-4B30DD769960}" action="add"/>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64" sId="4" numFmtId="4">
    <oc r="O24">
      <v>10.1</v>
    </oc>
    <nc r="O24">
      <v>0</v>
    </nc>
  </rcc>
  <rcc rId="2065" sId="4" numFmtId="4">
    <oc r="O25">
      <v>1.55</v>
    </oc>
    <nc r="O25">
      <v>0</v>
    </nc>
  </rcc>
  <rcc rId="2066" sId="4" numFmtId="4">
    <oc r="O29">
      <v>9.4</v>
    </oc>
    <nc r="O29">
      <v>0</v>
    </nc>
  </rcc>
  <rcc rId="2067" sId="4" numFmtId="4">
    <oc r="O31">
      <v>568.32000000000005</v>
    </oc>
    <nc r="O31">
      <v>0</v>
    </nc>
  </rcc>
  <rcc rId="2068" sId="4" numFmtId="4">
    <oc r="O32">
      <v>888.91</v>
    </oc>
    <nc r="O32">
      <v>0</v>
    </nc>
  </rcc>
  <rcc rId="2069" sId="4" numFmtId="4">
    <oc r="O33">
      <v>29.74</v>
    </oc>
    <nc r="O33">
      <v>0</v>
    </nc>
  </rcc>
  <rcc rId="2070" sId="4" numFmtId="4">
    <oc r="O35">
      <f>O38+O69+O76</f>
    </oc>
    <nc r="O35">
      <v>0</v>
    </nc>
  </rcc>
  <rcc rId="2071" sId="4" numFmtId="4">
    <oc r="O36">
      <f>O39</f>
    </oc>
    <nc r="O36">
      <v>0</v>
    </nc>
  </rcc>
  <rcc rId="2072" sId="4" numFmtId="4">
    <oc r="O38">
      <f>O41+O44+O46+O48+O51+O53+O55+O57+O59+O62+O64+O66</f>
    </oc>
    <nc r="O38">
      <v>0</v>
    </nc>
  </rcc>
  <rcc rId="2073" sId="4" numFmtId="4">
    <oc r="O39">
      <f>O42+O49+O60</f>
    </oc>
    <nc r="O39">
      <v>0</v>
    </nc>
  </rcc>
  <rcc rId="2074" sId="4" numFmtId="4">
    <oc r="O41">
      <v>5540.2</v>
    </oc>
    <nc r="O41">
      <v>0</v>
    </nc>
  </rcc>
  <rcc rId="2075" sId="4" numFmtId="4">
    <oc r="O42">
      <v>10.91</v>
    </oc>
    <nc r="O42">
      <v>0</v>
    </nc>
  </rcc>
  <rcc rId="2076" sId="4" numFmtId="4">
    <oc r="O44">
      <v>250</v>
    </oc>
    <nc r="O44">
      <v>0</v>
    </nc>
  </rcc>
  <rcc rId="2077" sId="4" numFmtId="4">
    <oc r="O46">
      <v>12.23</v>
    </oc>
    <nc r="O46">
      <v>0</v>
    </nc>
  </rcc>
  <rcc rId="2078" sId="4" numFmtId="4">
    <oc r="O48">
      <v>4736.6809999999996</v>
    </oc>
    <nc r="O48">
      <v>0</v>
    </nc>
  </rcc>
  <rcc rId="2079" sId="4" numFmtId="4">
    <oc r="O49">
      <v>209.75399999999999</v>
    </oc>
    <nc r="O49">
      <v>0</v>
    </nc>
  </rcc>
  <rcc rId="2080" sId="4" numFmtId="4">
    <oc r="O55">
      <v>64.400000000000006</v>
    </oc>
    <nc r="O55">
      <v>0</v>
    </nc>
  </rcc>
  <rcc rId="2081" sId="4" numFmtId="4">
    <oc r="O59">
      <v>12068.052</v>
    </oc>
    <nc r="O59">
      <v>0</v>
    </nc>
  </rcc>
  <rcc rId="2082" sId="4" numFmtId="4">
    <oc r="O60">
      <v>1376.7560000000001</v>
    </oc>
    <nc r="O60">
      <v>0</v>
    </nc>
  </rcc>
  <rcc rId="2083" sId="4" numFmtId="4">
    <oc r="O62">
      <v>575.976</v>
    </oc>
    <nc r="O62">
      <v>0</v>
    </nc>
  </rcc>
  <rcc rId="2084" sId="4" numFmtId="4">
    <oc r="O66">
      <v>75768</v>
    </oc>
    <nc r="O66">
      <v>0</v>
    </nc>
  </rcc>
  <rcc rId="2085" sId="4" numFmtId="4">
    <oc r="O76">
      <v>838.51</v>
    </oc>
    <nc r="O76">
      <v>0</v>
    </nc>
  </rcc>
  <rcc rId="2086" sId="4" numFmtId="4">
    <oc r="O78">
      <v>9798.9</v>
    </oc>
    <nc r="O78">
      <v>0</v>
    </nc>
  </rcc>
  <rcc rId="2087" sId="4" numFmtId="4">
    <oc r="O79">
      <v>468.45</v>
    </oc>
    <nc r="O79">
      <v>0</v>
    </nc>
  </rcc>
  <rcc rId="2088" sId="4">
    <oc r="O80">
      <f>O81</f>
    </oc>
    <nc r="O80">
      <f>O81</f>
    </nc>
  </rcc>
  <rcc rId="2089" sId="4" numFmtId="4">
    <oc r="O81">
      <v>309</v>
    </oc>
    <nc r="O81">
      <v>0</v>
    </nc>
  </rcc>
  <rcc rId="2090" sId="4" numFmtId="4">
    <oc r="O100">
      <v>462.68200000000002</v>
    </oc>
    <nc r="O100">
      <v>0</v>
    </nc>
  </rcc>
  <rcc rId="2091" sId="4" numFmtId="4">
    <oc r="O98">
      <v>903.56600000000003</v>
    </oc>
    <nc r="O98">
      <v>0</v>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9" sqref="H16">
    <dxf>
      <fill>
        <patternFill patternType="solid">
          <bgColor rgb="FFFFFF00"/>
        </patternFill>
      </fill>
    </dxf>
  </rfmt>
  <rcc rId="1442" sId="9" numFmtId="4">
    <oc r="H16">
      <f>IFERROR(G16/D16*100,K17)</f>
    </oc>
    <nc r="H16">
      <v>73.38</v>
    </nc>
  </rcc>
  <rfmt sheetId="9" sqref="H16">
    <dxf>
      <fill>
        <patternFill>
          <bgColor theme="0"/>
        </patternFill>
      </fill>
    </dxf>
  </rfmt>
  <rcc rId="1443" sId="9" numFmtId="4">
    <oc r="N16">
      <v>0</v>
    </oc>
    <nc r="N16">
      <v>2235.88</v>
    </nc>
  </rcc>
  <rcc rId="1444" sId="9" numFmtId="4">
    <oc r="O16">
      <v>0</v>
    </oc>
    <nc r="O16">
      <v>2235.88</v>
    </nc>
  </rcc>
  <rcc rId="1445" sId="9" numFmtId="4">
    <oc r="P16">
      <v>23711.599999999999</v>
    </oc>
    <nc r="P16">
      <v>0</v>
    </nc>
  </rcc>
  <rcc rId="1446" sId="9" numFmtId="4">
    <oc r="P13">
      <f>P15+P16+P14</f>
    </oc>
    <nc r="P13">
      <v>0</v>
    </nc>
  </rcc>
  <rcc rId="1447" sId="9" numFmtId="4">
    <oc r="P15">
      <v>450518.6</v>
    </oc>
    <nc r="P15">
      <v>0</v>
    </nc>
  </rcc>
  <rcc rId="1448" sId="9" numFmtId="4">
    <oc r="V16">
      <v>0</v>
    </oc>
    <nc r="V16">
      <v>3556.73</v>
    </nc>
  </rcc>
  <rcc rId="1449" sId="9" numFmtId="4">
    <oc r="V15">
      <v>0</v>
    </oc>
    <nc r="V15">
      <v>67577.8</v>
    </nc>
  </rcc>
  <rcc rId="1450" sId="9" numFmtId="4">
    <oc r="X16">
      <v>0</v>
    </oc>
    <nc r="X16">
      <v>2371.15</v>
    </nc>
  </rcc>
  <rcc rId="1451" sId="9" numFmtId="4">
    <oc r="X15">
      <v>0</v>
    </oc>
    <nc r="X15">
      <v>45051.87</v>
    </nc>
  </rcc>
  <rcc rId="1452" sId="9" numFmtId="4">
    <oc r="Z16">
      <v>0</v>
    </oc>
    <nc r="Z16">
      <v>2371.15</v>
    </nc>
  </rcc>
  <rcc rId="1453" sId="9" numFmtId="4">
    <oc r="Z15">
      <v>0</v>
    </oc>
    <nc r="Z15">
      <v>45051.87</v>
    </nc>
  </rcc>
  <rcc rId="1454" sId="9" numFmtId="4">
    <oc r="AB16">
      <v>3891.8</v>
    </oc>
    <nc r="AB16">
      <v>8634.2000000000007</v>
    </nc>
  </rcc>
  <rcc rId="1455" sId="9" numFmtId="4">
    <oc r="AB15">
      <v>73945.600000000006</v>
    </oc>
    <nc r="AB15">
      <v>164049.34</v>
    </nc>
  </rcc>
  <rcc rId="1456" sId="9" numFmtId="4">
    <oc r="AD16">
      <v>0</v>
    </oc>
    <nc r="AD16">
      <v>7113.45</v>
    </nc>
  </rcc>
  <rcc rId="1457" sId="9" numFmtId="4">
    <oc r="AD15">
      <v>0</v>
    </oc>
    <nc r="AD15">
      <v>135155.60999999999</v>
    </nc>
  </rcc>
  <rcc rId="1458" sId="9" numFmtId="4">
    <oc r="AF16">
      <f>3050.52+11420</f>
    </oc>
    <nc r="AF16">
      <v>4371.46</v>
    </nc>
  </rcc>
  <rcc rId="1459" sId="9" numFmtId="4">
    <oc r="AF15">
      <v>0</v>
    </oc>
    <nc r="AF15">
      <v>67577.710000000006</v>
    </nc>
  </rcc>
  <rcv guid="{30B635D9-57DB-47D5-8A0F-4B30DD769960}" action="delete"/>
  <rdn rId="0" localSheetId="1" customView="1" name="Z_30B635D9_57DB_47D5_8A0F_4B30DD769960_.wvu.Rows" hidden="1" oldHidden="1">
    <formula>'1. РО'!$28:$28,'1. РО'!$32:$32,'1. РО'!$52:$52,'1. РО'!$59:$59,'1. РО'!$71:$71,'1. РО'!$75:$75</formula>
    <oldFormula>'1. РО'!$28:$28,'1. РО'!$32:$32,'1. РО'!$52:$52,'1. РО'!$59:$59,'1. РО'!$71:$71,'1. РО'!$75:$75</oldFormula>
  </rdn>
  <rdn rId="0" localSheetId="4" customView="1" name="Z_30B635D9_57DB_47D5_8A0F_4B30DD769960_.wvu.Rows" hidden="1" oldHidden="1">
    <formula>'4. КП'!$23:$23,'4. КП'!$27:$27,'4. КП'!$68:$68,'4. КП'!$75:$75,'4. КП'!$83:$83,'4. КП'!$87:$88,'4. КП'!$91:$91,'4. КП'!$93:$93</formula>
    <oldFormula>'4. КП'!$23:$23,'4. КП'!$27:$27,'4. КП'!$68:$68,'4. КП'!$75:$75,'4. КП'!$83:$83,'4. КП'!$87:$88,'4. КП'!$91:$91,'4. КП'!$93:$93</oldFormula>
  </rdn>
  <rdn rId="0" localSheetId="5" customView="1" name="Z_30B635D9_57DB_47D5_8A0F_4B30DD769960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30B635D9_57DB_47D5_8A0F_4B30DD769960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30B635D9_57DB_47D5_8A0F_4B30DD769960_.wvu.Rows" hidden="1" oldHidden="1">
    <formula>'9. РЖКК'!$14:$14,'9. РЖКК'!$28:$28</formula>
    <oldFormula>'9. РЖКК'!$14:$14,'9. РЖКК'!$28:$28</oldFormula>
  </rdn>
  <rdn rId="0" localSheetId="14" customView="1" name="Z_30B635D9_57DB_47D5_8A0F_4B30DD769960_.wvu.Rows" hidden="1" oldHidden="1">
    <formula>'14. РТС'!$14:$15,'14. РТС'!$19:$19,'14. РТС'!$30:$30,'14. РТС'!$33:$33,'14. РТС'!$36:$36,'14. РТС'!$43:$43</formula>
    <oldFormula>'14. РТС'!$14:$15,'14. РТС'!$19:$19,'14. РТС'!$30:$30,'14. РТС'!$33:$33,'14. РТС'!$36:$36,'14. РТС'!$43:$43</oldFormula>
  </rdn>
  <rdn rId="0" localSheetId="20" customView="1" name="Z_30B635D9_57DB_47D5_8A0F_4B30DD769960_.wvu.Rows" hidden="1" oldHidden="1">
    <formula>'20. МСП'!$19:$19</formula>
    <oldFormula>'20. МСП'!$19:$19</oldFormula>
  </rdn>
  <rcv guid="{30B635D9-57DB-47D5-8A0F-4B30DD769960}"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67" sId="9" numFmtId="4">
    <oc r="D16">
      <v>30654.02</v>
    </oc>
    <nc r="D16">
      <f>SUM(J16,L16,N16,P16,R16,T16,V16,X16,Z16,AB16,AD16,AF16)</f>
    </nc>
  </rcc>
  <rcv guid="{30B635D9-57DB-47D5-8A0F-4B30DD769960}" action="delete"/>
  <rdn rId="0" localSheetId="1" customView="1" name="Z_30B635D9_57DB_47D5_8A0F_4B30DD769960_.wvu.Rows" hidden="1" oldHidden="1">
    <formula>'1. РО'!$28:$28,'1. РО'!$32:$32,'1. РО'!$52:$52,'1. РО'!$59:$59,'1. РО'!$71:$71,'1. РО'!$75:$75</formula>
    <oldFormula>'1. РО'!$28:$28,'1. РО'!$32:$32,'1. РО'!$52:$52,'1. РО'!$59:$59,'1. РО'!$71:$71,'1. РО'!$75:$75</oldFormula>
  </rdn>
  <rdn rId="0" localSheetId="4" customView="1" name="Z_30B635D9_57DB_47D5_8A0F_4B30DD769960_.wvu.Rows" hidden="1" oldHidden="1">
    <formula>'4. КП'!$23:$23,'4. КП'!$27:$27,'4. КП'!$68:$68,'4. КП'!$75:$75,'4. КП'!$83:$83,'4. КП'!$87:$88,'4. КП'!$91:$91,'4. КП'!$93:$93</formula>
    <oldFormula>'4. КП'!$23:$23,'4. КП'!$27:$27,'4. КП'!$68:$68,'4. КП'!$75:$75,'4. КП'!$83:$83,'4. КП'!$87:$88,'4. КП'!$91:$91,'4. КП'!$93:$93</oldFormula>
  </rdn>
  <rdn rId="0" localSheetId="5" customView="1" name="Z_30B635D9_57DB_47D5_8A0F_4B30DD769960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30B635D9_57DB_47D5_8A0F_4B30DD769960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30B635D9_57DB_47D5_8A0F_4B30DD769960_.wvu.Rows" hidden="1" oldHidden="1">
    <formula>'9. РЖКК'!$14:$14,'9. РЖКК'!$28:$28</formula>
    <oldFormula>'9. РЖКК'!$14:$14,'9. РЖКК'!$28:$28</oldFormula>
  </rdn>
  <rdn rId="0" localSheetId="14" customView="1" name="Z_30B635D9_57DB_47D5_8A0F_4B30DD769960_.wvu.Rows" hidden="1" oldHidden="1">
    <formula>'14. РТС'!$14:$15,'14. РТС'!$19:$19,'14. РТС'!$30:$30,'14. РТС'!$33:$33,'14. РТС'!$36:$36,'14. РТС'!$43:$43</formula>
    <oldFormula>'14. РТС'!$14:$15,'14. РТС'!$19:$19,'14. РТС'!$30:$30,'14. РТС'!$33:$33,'14. РТС'!$36:$36,'14. РТС'!$43:$43</oldFormula>
  </rdn>
  <rdn rId="0" localSheetId="20" customView="1" name="Z_30B635D9_57DB_47D5_8A0F_4B30DD769960_.wvu.Rows" hidden="1" oldHidden="1">
    <formula>'20. МСП'!$19:$19</formula>
    <oldFormula>'20. МСП'!$19:$19</oldFormula>
  </rdn>
  <rcv guid="{30B635D9-57DB-47D5-8A0F-4B30DD769960}"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75" sId="9" numFmtId="19">
    <oc r="F6" t="inlineStr">
      <is>
        <t>0105.2025</t>
      </is>
    </oc>
    <nc r="F6">
      <v>45778</v>
    </nc>
  </rcc>
  <rcc rId="1476" sId="9" odxf="1" dxf="1" numFmtId="4">
    <oc r="H16">
      <v>73.38</v>
    </oc>
    <nc r="H16">
      <f>IFERROR(G16/D16*100,0)</f>
    </nc>
    <odxf>
      <fill>
        <patternFill patternType="solid">
          <bgColor theme="0"/>
        </patternFill>
      </fill>
    </odxf>
    <ndxf>
      <fill>
        <patternFill patternType="none">
          <bgColor indexed="65"/>
        </patternFill>
      </fill>
    </ndxf>
  </rcc>
</revisions>
</file>

<file path=xl/revisions/revisionLog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BF6B43F-E0FC-43DF-B91C-674F6AB4B556}" action="delete"/>
  <rdn rId="0" localSheetId="1" customView="1" name="Z_BBF6B43F_E0FC_43DF_B91C_674F6AB4B556_.wvu.Rows" hidden="1" oldHidden="1">
    <formula>'1. РО'!$28:$28,'1. РО'!$32:$32,'1. РО'!$52:$52,'1. РО'!$59:$59,'1. РО'!$71:$71,'1. РО'!$75:$75</formula>
    <oldFormula>'1. РО'!$28:$28,'1. РО'!$32:$32,'1. РО'!$52:$52,'1. РО'!$59:$59,'1. РО'!$71:$71,'1. РО'!$75:$75</oldFormula>
  </rdn>
  <rdn rId="0" localSheetId="4" customView="1" name="Z_BBF6B43F_E0FC_43DF_B91C_674F6AB4B556_.wvu.Rows" hidden="1" oldHidden="1">
    <formula>'4. КП'!$23:$23,'4. КП'!$27:$27,'4. КП'!$68:$68,'4. КП'!$75:$75,'4. КП'!$83:$83,'4. КП'!$87:$88,'4. КП'!$91:$91,'4. КП'!$93:$93</formula>
    <oldFormula>'4. КП'!$23:$23,'4. КП'!$27:$27,'4. КП'!$68:$68,'4. КП'!$75:$75,'4. КП'!$83:$83,'4. КП'!$87:$88,'4. КП'!$91:$91,'4. КП'!$93:$93</oldFormula>
  </rdn>
  <rdn rId="0" localSheetId="5" customView="1" name="Z_BBF6B43F_E0FC_43DF_B91C_674F6AB4B556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BBF6B43F_E0FC_43DF_B91C_674F6AB4B556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BBF6B43F_E0FC_43DF_B91C_674F6AB4B556_.wvu.Rows" hidden="1" oldHidden="1">
    <formula>'9. РЖКК'!$14:$14,'9. РЖКК'!$28:$28</formula>
    <oldFormula>'9. РЖКК'!$14:$14,'9. РЖКК'!$28:$28</oldFormula>
  </rdn>
  <rdn rId="0" localSheetId="14" customView="1" name="Z_BBF6B43F_E0FC_43DF_B91C_674F6AB4B556_.wvu.Rows" hidden="1" oldHidden="1">
    <formula>'14. РТС'!$14:$15,'14. РТС'!$19:$19,'14. РТС'!$30:$30,'14. РТС'!$33:$33,'14. РТС'!$36:$36,'14. РТС'!$43:$43</formula>
    <oldFormula>'14. РТС'!$14:$15,'14. РТС'!$19:$19,'14. РТС'!$30:$30,'14. РТС'!$33:$33,'14. РТС'!$36:$36,'14. РТС'!$43:$43</oldFormula>
  </rdn>
  <rdn rId="0" localSheetId="20" customView="1" name="Z_BBF6B43F_E0FC_43DF_B91C_674F6AB4B556_.wvu.Rows" hidden="1" oldHidden="1">
    <formula>'20. МСП'!$19:$19</formula>
    <oldFormula>'20. МСП'!$19:$19</oldFormula>
  </rdn>
  <rcv guid="{BBF6B43F-E0FC-43DF-B91C-674F6AB4B556}" action="add"/>
</revisions>
</file>

<file path=xl/revisions/revisionLog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24" sId="5">
    <nc r="K6" t="inlineStr">
      <is>
        <t>кассовый расход</t>
      </is>
    </nc>
  </rcc>
  <rcc rId="1325" sId="5" numFmtId="4">
    <oc r="J73">
      <v>2818.826</v>
    </oc>
    <nc r="J73">
      <v>2815.826</v>
    </nc>
  </rcc>
  <rcc rId="1326" sId="5" numFmtId="4">
    <oc r="L72">
      <v>3791.9250000000002</v>
    </oc>
    <nc r="L72">
      <v>3677.26</v>
    </nc>
  </rcc>
  <rcc rId="1327" sId="5" numFmtId="4">
    <oc r="N72">
      <v>873.51</v>
    </oc>
    <nc r="N72">
      <v>0</v>
    </nc>
  </rcc>
  <rcc rId="1328" sId="5" numFmtId="4">
    <oc r="P72">
      <v>2216.3119999999999</v>
    </oc>
    <nc r="P72">
      <f>3204.487+877</f>
    </nc>
  </rcc>
  <rcc rId="1329" sId="5" numFmtId="4">
    <oc r="N79">
      <v>24.791</v>
    </oc>
    <nc r="N79">
      <v>1038.191</v>
    </nc>
  </rcc>
  <rcc rId="1330" sId="5" numFmtId="4">
    <oc r="N85">
      <v>433.58300000000003</v>
    </oc>
    <nc r="N85">
      <v>433.56299999999999</v>
    </nc>
  </rcc>
  <rcc rId="1331" sId="5" numFmtId="4">
    <oc r="Z85">
      <v>478.62900000000002</v>
    </oc>
    <nc r="Z85">
      <v>476.529</v>
    </nc>
  </rcc>
</revisions>
</file>

<file path=xl/revisions/revisionLog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BF6B43F-E0FC-43DF-B91C-674F6AB4B556}" action="delete"/>
  <rdn rId="0" localSheetId="1" customView="1" name="Z_BBF6B43F_E0FC_43DF_B91C_674F6AB4B556_.wvu.Rows" hidden="1" oldHidden="1">
    <formula>'1. РО'!$28:$28,'1. РО'!$32:$32,'1. РО'!$52:$52,'1. РО'!$59:$59,'1. РО'!$71:$71,'1. РО'!$75:$75</formula>
    <oldFormula>'1. РО'!$28:$28,'1. РО'!$32:$32,'1. РО'!$52:$52,'1. РО'!$59:$59,'1. РО'!$71:$71,'1. РО'!$75:$75</oldFormula>
  </rdn>
  <rdn rId="0" localSheetId="4" customView="1" name="Z_BBF6B43F_E0FC_43DF_B91C_674F6AB4B556_.wvu.Rows" hidden="1" oldHidden="1">
    <formula>'4. КП'!$23:$23,'4. КП'!$27:$27,'4. КП'!$68:$68,'4. КП'!$75:$75,'4. КП'!$83:$83,'4. КП'!$87:$88,'4. КП'!$91:$91,'4. КП'!$93:$93</formula>
    <oldFormula>'4. КП'!$23:$23,'4. КП'!$27:$27,'4. КП'!$68:$68,'4. КП'!$75:$75,'4. КП'!$83:$83,'4. КП'!$87:$88,'4. КП'!$91:$91,'4. КП'!$93:$93</oldFormula>
  </rdn>
  <rdn rId="0" localSheetId="5" customView="1" name="Z_BBF6B43F_E0FC_43DF_B91C_674F6AB4B556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BBF6B43F_E0FC_43DF_B91C_674F6AB4B556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BBF6B43F_E0FC_43DF_B91C_674F6AB4B556_.wvu.Rows" hidden="1" oldHidden="1">
    <formula>'9. РЖКК'!$14:$14,'9. РЖКК'!$28:$28</formula>
    <oldFormula>'9. РЖКК'!$14:$14,'9. РЖКК'!$28:$28</oldFormula>
  </rdn>
  <rdn rId="0" localSheetId="14" customView="1" name="Z_BBF6B43F_E0FC_43DF_B91C_674F6AB4B556_.wvu.Rows" hidden="1" oldHidden="1">
    <formula>'14. РТС'!$14:$15,'14. РТС'!$19:$19,'14. РТС'!$30:$30,'14. РТС'!$33:$33,'14. РТС'!$36:$36,'14. РТС'!$43:$43</formula>
    <oldFormula>'14. РТС'!$14:$15,'14. РТС'!$19:$19,'14. РТС'!$30:$30,'14. РТС'!$33:$33,'14. РТС'!$36:$36,'14. РТС'!$43:$43</oldFormula>
  </rdn>
  <rdn rId="0" localSheetId="20" customView="1" name="Z_BBF6B43F_E0FC_43DF_B91C_674F6AB4B556_.wvu.Rows" hidden="1" oldHidden="1">
    <formula>'20. МСП'!$19:$19</formula>
    <oldFormula>'20. МСП'!$19:$19</oldFormula>
  </rdn>
  <rcv guid="{BBF6B43F-E0FC-43DF-B91C-674F6AB4B556}" action="add"/>
</revisions>
</file>

<file path=xl/revisions/revisionLog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39" sId="5" numFmtId="4">
    <oc r="O85">
      <v>0</v>
    </oc>
    <nc r="O85">
      <v>495.31</v>
    </nc>
  </rcc>
</revisions>
</file>

<file path=xl/revisions/revisionLog9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40" sId="5" numFmtId="4">
    <oc r="O37">
      <v>0</v>
    </oc>
    <nc r="O37">
      <v>16.53</v>
    </nc>
  </rcc>
  <rcc rId="1341" sId="5" numFmtId="4">
    <oc r="O47">
      <v>0</v>
    </oc>
    <nc r="O47">
      <v>16.739999999999998</v>
    </nc>
  </rcc>
  <rcc rId="1342" sId="5" numFmtId="4">
    <oc r="O68">
      <v>0</v>
    </oc>
    <nc r="O68">
      <v>788.69</v>
    </nc>
  </rcc>
  <rcc rId="1343" sId="5" numFmtId="4">
    <oc r="O73">
      <v>0</v>
    </oc>
    <nc r="O73">
      <v>2649.56</v>
    </nc>
  </rcc>
  <rcc rId="1344" sId="5">
    <oc r="O76">
      <f>O77+O78+O79+O80</f>
    </oc>
    <nc r="O76">
      <f>O77+O78+O79+O80</f>
    </nc>
  </rcc>
  <rcc rId="1345" sId="5" numFmtId="4">
    <oc r="O79">
      <v>0</v>
    </oc>
    <nc r="O79">
      <v>6109.25</v>
    </nc>
  </rcc>
</revisions>
</file>

<file path=xl/revisions/revisionLog9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46" sId="5" odxf="1" s="1" dxf="1" numFmtId="4">
    <oc r="O27">
      <v>0</v>
    </oc>
    <nc r="O27">
      <v>114.64</v>
    </nc>
    <odxf>
      <font>
        <b val="0"/>
        <i val="0"/>
        <strike val="0"/>
        <condense val="0"/>
        <extend val="0"/>
        <outline val="0"/>
        <shadow val="0"/>
        <u val="none"/>
        <vertAlign val="baseline"/>
        <sz val="12"/>
        <color auto="1"/>
        <name val="Times New Roman"/>
        <scheme val="none"/>
      </font>
      <numFmt numFmtId="166" formatCode="#,##0.00_ ;[Red]\-#,##0.00\ "/>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odxf>
    <ndxf>
      <font>
        <sz val="14"/>
        <color auto="1"/>
        <name val="Times New Roman"/>
        <scheme val="none"/>
      </font>
      <numFmt numFmtId="4" formatCode="#,##0.00"/>
      <alignment horizontal="right" readingOrder="0"/>
      <protection locked="1"/>
    </ndxf>
  </rcc>
  <rfmt sheetId="5" sqref="O27">
    <dxf>
      <alignment horizontal="center" readingOrder="0"/>
    </dxf>
  </rfmt>
  <rcc rId="1347" sId="5" numFmtId="4">
    <oc r="O32">
      <v>0</v>
    </oc>
    <nc r="O32">
      <v>20547.189999999999</v>
    </nc>
  </rcc>
</revisions>
</file>

<file path=xl/revisions/revisionLog9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48" sId="16" numFmtId="19">
    <oc r="E6">
      <v>45717</v>
    </oc>
    <nc r="E6">
      <v>45748</v>
    </nc>
  </rcc>
  <rcc rId="1349" sId="16" numFmtId="19">
    <oc r="F6">
      <v>45717</v>
    </oc>
    <nc r="F6">
      <v>45748</v>
    </nc>
  </rcc>
  <rcc rId="1350" sId="16" numFmtId="19">
    <oc r="G6">
      <v>45689</v>
    </oc>
    <nc r="G6">
      <v>45748</v>
    </nc>
  </rcc>
  <rcv guid="{60A1F930-4BEC-460A-8E14-01E47F6DD055}" action="delete"/>
  <rdn rId="0" localSheetId="1" customView="1" name="Z_60A1F930_4BEC_460A_8E14_01E47F6DD055_.wvu.Rows" hidden="1" oldHidden="1">
    <formula>'1. РО'!$28:$28,'1. РО'!$32:$32,'1. РО'!$52:$52,'1. РО'!$59:$59,'1. РО'!$71:$71,'1. РО'!$75:$75</formula>
    <oldFormula>'1. РО'!$28:$28,'1. РО'!$32:$32,'1. РО'!$52:$52,'1. РО'!$59:$59,'1. РО'!$71:$71,'1. РО'!$75:$75</oldFormula>
  </rdn>
  <rdn rId="0" localSheetId="4" customView="1" name="Z_60A1F930_4BEC_460A_8E14_01E47F6DD055_.wvu.Rows" hidden="1" oldHidden="1">
    <formula>'4. КП'!$23:$23,'4. КП'!$27:$27,'4. КП'!$68:$68,'4. КП'!$75:$75,'4. КП'!$83:$83,'4. КП'!$87:$88,'4. КП'!$91:$91,'4. КП'!$93:$93</formula>
    <oldFormula>'4. КП'!$23:$23,'4. КП'!$27:$27,'4. КП'!$68:$68,'4. КП'!$75:$75,'4. КП'!$83:$83,'4. КП'!$87:$88,'4. КП'!$91:$91,'4. КП'!$93:$93</oldFormula>
  </rdn>
  <rdn rId="0" localSheetId="5" customView="1" name="Z_60A1F930_4BEC_460A_8E14_01E47F6DD055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60A1F930_4BEC_460A_8E14_01E47F6DD055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60A1F930_4BEC_460A_8E14_01E47F6DD055_.wvu.Rows" hidden="1" oldHidden="1">
    <formula>'9. РЖКК'!$14:$14,'9. РЖКК'!$28:$28</formula>
    <oldFormula>'9. РЖКК'!$14:$14,'9. РЖКК'!$28:$28</oldFormula>
  </rdn>
  <rdn rId="0" localSheetId="14" customView="1" name="Z_60A1F930_4BEC_460A_8E14_01E47F6DD055_.wvu.Rows" hidden="1" oldHidden="1">
    <formula>'14. РТС'!$14:$15,'14. РТС'!$19:$19,'14. РТС'!$30:$30,'14. РТС'!$33:$33,'14. РТС'!$36:$36,'14. РТС'!$43:$43</formula>
    <oldFormula>'14. РТС'!$14:$15,'14. РТС'!$19:$19,'14. РТС'!$30:$30,'14. РТС'!$33:$33,'14. РТС'!$36:$36,'14. РТС'!$43:$43</oldFormula>
  </rdn>
  <rdn rId="0" localSheetId="20" customView="1" name="Z_60A1F930_4BEC_460A_8E14_01E47F6DD055_.wvu.Rows" hidden="1" oldHidden="1">
    <formula>'20. МСП'!$19:$19</formula>
    <oldFormula>'20. МСП'!$19:$19</oldFormula>
  </rdn>
  <rcv guid="{60A1F930-4BEC-460A-8E14-01E47F6DD055}"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72.bin"/><Relationship Id="rId13" Type="http://schemas.openxmlformats.org/officeDocument/2006/relationships/printerSettings" Target="../printerSettings/printerSettings177.bin"/><Relationship Id="rId18" Type="http://schemas.openxmlformats.org/officeDocument/2006/relationships/printerSettings" Target="../printerSettings/printerSettings182.bin"/><Relationship Id="rId3" Type="http://schemas.openxmlformats.org/officeDocument/2006/relationships/printerSettings" Target="../printerSettings/printerSettings167.bin"/><Relationship Id="rId21" Type="http://schemas.openxmlformats.org/officeDocument/2006/relationships/printerSettings" Target="../printerSettings/printerSettings185.bin"/><Relationship Id="rId7" Type="http://schemas.openxmlformats.org/officeDocument/2006/relationships/printerSettings" Target="../printerSettings/printerSettings171.bin"/><Relationship Id="rId12" Type="http://schemas.openxmlformats.org/officeDocument/2006/relationships/printerSettings" Target="../printerSettings/printerSettings176.bin"/><Relationship Id="rId17" Type="http://schemas.openxmlformats.org/officeDocument/2006/relationships/printerSettings" Target="../printerSettings/printerSettings181.bin"/><Relationship Id="rId2" Type="http://schemas.openxmlformats.org/officeDocument/2006/relationships/printerSettings" Target="../printerSettings/printerSettings166.bin"/><Relationship Id="rId16" Type="http://schemas.openxmlformats.org/officeDocument/2006/relationships/printerSettings" Target="../printerSettings/printerSettings180.bin"/><Relationship Id="rId20" Type="http://schemas.openxmlformats.org/officeDocument/2006/relationships/printerSettings" Target="../printerSettings/printerSettings184.bin"/><Relationship Id="rId1" Type="http://schemas.openxmlformats.org/officeDocument/2006/relationships/printerSettings" Target="../printerSettings/printerSettings165.bin"/><Relationship Id="rId6" Type="http://schemas.openxmlformats.org/officeDocument/2006/relationships/printerSettings" Target="../printerSettings/printerSettings170.bin"/><Relationship Id="rId11" Type="http://schemas.openxmlformats.org/officeDocument/2006/relationships/printerSettings" Target="../printerSettings/printerSettings175.bin"/><Relationship Id="rId5" Type="http://schemas.openxmlformats.org/officeDocument/2006/relationships/printerSettings" Target="../printerSettings/printerSettings169.bin"/><Relationship Id="rId15" Type="http://schemas.openxmlformats.org/officeDocument/2006/relationships/printerSettings" Target="../printerSettings/printerSettings179.bin"/><Relationship Id="rId23" Type="http://schemas.openxmlformats.org/officeDocument/2006/relationships/printerSettings" Target="../printerSettings/printerSettings187.bin"/><Relationship Id="rId10" Type="http://schemas.openxmlformats.org/officeDocument/2006/relationships/printerSettings" Target="../printerSettings/printerSettings174.bin"/><Relationship Id="rId19" Type="http://schemas.openxmlformats.org/officeDocument/2006/relationships/printerSettings" Target="../printerSettings/printerSettings183.bin"/><Relationship Id="rId4" Type="http://schemas.openxmlformats.org/officeDocument/2006/relationships/printerSettings" Target="../printerSettings/printerSettings168.bin"/><Relationship Id="rId9" Type="http://schemas.openxmlformats.org/officeDocument/2006/relationships/printerSettings" Target="../printerSettings/printerSettings173.bin"/><Relationship Id="rId14" Type="http://schemas.openxmlformats.org/officeDocument/2006/relationships/printerSettings" Target="../printerSettings/printerSettings178.bin"/><Relationship Id="rId22" Type="http://schemas.openxmlformats.org/officeDocument/2006/relationships/printerSettings" Target="../printerSettings/printerSettings186.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95.bin"/><Relationship Id="rId13" Type="http://schemas.openxmlformats.org/officeDocument/2006/relationships/printerSettings" Target="../printerSettings/printerSettings200.bin"/><Relationship Id="rId18" Type="http://schemas.openxmlformats.org/officeDocument/2006/relationships/printerSettings" Target="../printerSettings/printerSettings205.bin"/><Relationship Id="rId3" Type="http://schemas.openxmlformats.org/officeDocument/2006/relationships/printerSettings" Target="../printerSettings/printerSettings190.bin"/><Relationship Id="rId21" Type="http://schemas.openxmlformats.org/officeDocument/2006/relationships/printerSettings" Target="../printerSettings/printerSettings208.bin"/><Relationship Id="rId7" Type="http://schemas.openxmlformats.org/officeDocument/2006/relationships/printerSettings" Target="../printerSettings/printerSettings194.bin"/><Relationship Id="rId12" Type="http://schemas.openxmlformats.org/officeDocument/2006/relationships/printerSettings" Target="../printerSettings/printerSettings199.bin"/><Relationship Id="rId17" Type="http://schemas.openxmlformats.org/officeDocument/2006/relationships/printerSettings" Target="../printerSettings/printerSettings204.bin"/><Relationship Id="rId2" Type="http://schemas.openxmlformats.org/officeDocument/2006/relationships/printerSettings" Target="../printerSettings/printerSettings189.bin"/><Relationship Id="rId16" Type="http://schemas.openxmlformats.org/officeDocument/2006/relationships/printerSettings" Target="../printerSettings/printerSettings203.bin"/><Relationship Id="rId20" Type="http://schemas.openxmlformats.org/officeDocument/2006/relationships/printerSettings" Target="../printerSettings/printerSettings207.bin"/><Relationship Id="rId1" Type="http://schemas.openxmlformats.org/officeDocument/2006/relationships/printerSettings" Target="../printerSettings/printerSettings188.bin"/><Relationship Id="rId6" Type="http://schemas.openxmlformats.org/officeDocument/2006/relationships/printerSettings" Target="../printerSettings/printerSettings193.bin"/><Relationship Id="rId11" Type="http://schemas.openxmlformats.org/officeDocument/2006/relationships/printerSettings" Target="../printerSettings/printerSettings198.bin"/><Relationship Id="rId5" Type="http://schemas.openxmlformats.org/officeDocument/2006/relationships/printerSettings" Target="../printerSettings/printerSettings192.bin"/><Relationship Id="rId15" Type="http://schemas.openxmlformats.org/officeDocument/2006/relationships/printerSettings" Target="../printerSettings/printerSettings202.bin"/><Relationship Id="rId23" Type="http://schemas.openxmlformats.org/officeDocument/2006/relationships/printerSettings" Target="../printerSettings/printerSettings210.bin"/><Relationship Id="rId10" Type="http://schemas.openxmlformats.org/officeDocument/2006/relationships/printerSettings" Target="../printerSettings/printerSettings197.bin"/><Relationship Id="rId19" Type="http://schemas.openxmlformats.org/officeDocument/2006/relationships/printerSettings" Target="../printerSettings/printerSettings206.bin"/><Relationship Id="rId4" Type="http://schemas.openxmlformats.org/officeDocument/2006/relationships/printerSettings" Target="../printerSettings/printerSettings191.bin"/><Relationship Id="rId9" Type="http://schemas.openxmlformats.org/officeDocument/2006/relationships/printerSettings" Target="../printerSettings/printerSettings196.bin"/><Relationship Id="rId14" Type="http://schemas.openxmlformats.org/officeDocument/2006/relationships/printerSettings" Target="../printerSettings/printerSettings201.bin"/><Relationship Id="rId22" Type="http://schemas.openxmlformats.org/officeDocument/2006/relationships/printerSettings" Target="../printerSettings/printerSettings209.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218.bin"/><Relationship Id="rId13" Type="http://schemas.openxmlformats.org/officeDocument/2006/relationships/printerSettings" Target="../printerSettings/printerSettings223.bin"/><Relationship Id="rId18" Type="http://schemas.openxmlformats.org/officeDocument/2006/relationships/printerSettings" Target="../printerSettings/printerSettings228.bin"/><Relationship Id="rId3" Type="http://schemas.openxmlformats.org/officeDocument/2006/relationships/printerSettings" Target="../printerSettings/printerSettings213.bin"/><Relationship Id="rId21" Type="http://schemas.openxmlformats.org/officeDocument/2006/relationships/printerSettings" Target="../printerSettings/printerSettings231.bin"/><Relationship Id="rId7" Type="http://schemas.openxmlformats.org/officeDocument/2006/relationships/printerSettings" Target="../printerSettings/printerSettings217.bin"/><Relationship Id="rId12" Type="http://schemas.openxmlformats.org/officeDocument/2006/relationships/printerSettings" Target="../printerSettings/printerSettings222.bin"/><Relationship Id="rId17" Type="http://schemas.openxmlformats.org/officeDocument/2006/relationships/printerSettings" Target="../printerSettings/printerSettings227.bin"/><Relationship Id="rId25" Type="http://schemas.openxmlformats.org/officeDocument/2006/relationships/comments" Target="../comments3.xml"/><Relationship Id="rId2" Type="http://schemas.openxmlformats.org/officeDocument/2006/relationships/printerSettings" Target="../printerSettings/printerSettings212.bin"/><Relationship Id="rId16" Type="http://schemas.openxmlformats.org/officeDocument/2006/relationships/printerSettings" Target="../printerSettings/printerSettings226.bin"/><Relationship Id="rId20" Type="http://schemas.openxmlformats.org/officeDocument/2006/relationships/printerSettings" Target="../printerSettings/printerSettings230.bin"/><Relationship Id="rId1" Type="http://schemas.openxmlformats.org/officeDocument/2006/relationships/printerSettings" Target="../printerSettings/printerSettings211.bin"/><Relationship Id="rId6" Type="http://schemas.openxmlformats.org/officeDocument/2006/relationships/printerSettings" Target="../printerSettings/printerSettings216.bin"/><Relationship Id="rId11" Type="http://schemas.openxmlformats.org/officeDocument/2006/relationships/printerSettings" Target="../printerSettings/printerSettings221.bin"/><Relationship Id="rId24" Type="http://schemas.openxmlformats.org/officeDocument/2006/relationships/vmlDrawing" Target="../drawings/vmlDrawing3.vml"/><Relationship Id="rId5" Type="http://schemas.openxmlformats.org/officeDocument/2006/relationships/printerSettings" Target="../printerSettings/printerSettings215.bin"/><Relationship Id="rId15" Type="http://schemas.openxmlformats.org/officeDocument/2006/relationships/printerSettings" Target="../printerSettings/printerSettings225.bin"/><Relationship Id="rId23" Type="http://schemas.openxmlformats.org/officeDocument/2006/relationships/printerSettings" Target="../printerSettings/printerSettings233.bin"/><Relationship Id="rId10" Type="http://schemas.openxmlformats.org/officeDocument/2006/relationships/printerSettings" Target="../printerSettings/printerSettings220.bin"/><Relationship Id="rId19" Type="http://schemas.openxmlformats.org/officeDocument/2006/relationships/printerSettings" Target="../printerSettings/printerSettings229.bin"/><Relationship Id="rId4" Type="http://schemas.openxmlformats.org/officeDocument/2006/relationships/printerSettings" Target="../printerSettings/printerSettings214.bin"/><Relationship Id="rId9" Type="http://schemas.openxmlformats.org/officeDocument/2006/relationships/printerSettings" Target="../printerSettings/printerSettings219.bin"/><Relationship Id="rId14" Type="http://schemas.openxmlformats.org/officeDocument/2006/relationships/printerSettings" Target="../printerSettings/printerSettings224.bin"/><Relationship Id="rId22" Type="http://schemas.openxmlformats.org/officeDocument/2006/relationships/printerSettings" Target="../printerSettings/printerSettings232.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41.bin"/><Relationship Id="rId13" Type="http://schemas.openxmlformats.org/officeDocument/2006/relationships/printerSettings" Target="../printerSettings/printerSettings246.bin"/><Relationship Id="rId18" Type="http://schemas.openxmlformats.org/officeDocument/2006/relationships/printerSettings" Target="../printerSettings/printerSettings251.bin"/><Relationship Id="rId3" Type="http://schemas.openxmlformats.org/officeDocument/2006/relationships/printerSettings" Target="../printerSettings/printerSettings236.bin"/><Relationship Id="rId21" Type="http://schemas.openxmlformats.org/officeDocument/2006/relationships/printerSettings" Target="../printerSettings/printerSettings254.bin"/><Relationship Id="rId7" Type="http://schemas.openxmlformats.org/officeDocument/2006/relationships/printerSettings" Target="../printerSettings/printerSettings240.bin"/><Relationship Id="rId12" Type="http://schemas.openxmlformats.org/officeDocument/2006/relationships/printerSettings" Target="../printerSettings/printerSettings245.bin"/><Relationship Id="rId17" Type="http://schemas.openxmlformats.org/officeDocument/2006/relationships/printerSettings" Target="../printerSettings/printerSettings250.bin"/><Relationship Id="rId2" Type="http://schemas.openxmlformats.org/officeDocument/2006/relationships/printerSettings" Target="../printerSettings/printerSettings235.bin"/><Relationship Id="rId16" Type="http://schemas.openxmlformats.org/officeDocument/2006/relationships/printerSettings" Target="../printerSettings/printerSettings249.bin"/><Relationship Id="rId20" Type="http://schemas.openxmlformats.org/officeDocument/2006/relationships/printerSettings" Target="../printerSettings/printerSettings253.bin"/><Relationship Id="rId1" Type="http://schemas.openxmlformats.org/officeDocument/2006/relationships/printerSettings" Target="../printerSettings/printerSettings234.bin"/><Relationship Id="rId6" Type="http://schemas.openxmlformats.org/officeDocument/2006/relationships/printerSettings" Target="../printerSettings/printerSettings239.bin"/><Relationship Id="rId11" Type="http://schemas.openxmlformats.org/officeDocument/2006/relationships/printerSettings" Target="../printerSettings/printerSettings244.bin"/><Relationship Id="rId5" Type="http://schemas.openxmlformats.org/officeDocument/2006/relationships/printerSettings" Target="../printerSettings/printerSettings238.bin"/><Relationship Id="rId15" Type="http://schemas.openxmlformats.org/officeDocument/2006/relationships/printerSettings" Target="../printerSettings/printerSettings248.bin"/><Relationship Id="rId23" Type="http://schemas.openxmlformats.org/officeDocument/2006/relationships/printerSettings" Target="../printerSettings/printerSettings256.bin"/><Relationship Id="rId10" Type="http://schemas.openxmlformats.org/officeDocument/2006/relationships/printerSettings" Target="../printerSettings/printerSettings243.bin"/><Relationship Id="rId19" Type="http://schemas.openxmlformats.org/officeDocument/2006/relationships/printerSettings" Target="../printerSettings/printerSettings252.bin"/><Relationship Id="rId4" Type="http://schemas.openxmlformats.org/officeDocument/2006/relationships/printerSettings" Target="../printerSettings/printerSettings237.bin"/><Relationship Id="rId9" Type="http://schemas.openxmlformats.org/officeDocument/2006/relationships/printerSettings" Target="../printerSettings/printerSettings242.bin"/><Relationship Id="rId14" Type="http://schemas.openxmlformats.org/officeDocument/2006/relationships/printerSettings" Target="../printerSettings/printerSettings247.bin"/><Relationship Id="rId22" Type="http://schemas.openxmlformats.org/officeDocument/2006/relationships/printerSettings" Target="../printerSettings/printerSettings255.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64.bin"/><Relationship Id="rId13" Type="http://schemas.openxmlformats.org/officeDocument/2006/relationships/printerSettings" Target="../printerSettings/printerSettings269.bin"/><Relationship Id="rId18" Type="http://schemas.openxmlformats.org/officeDocument/2006/relationships/printerSettings" Target="../printerSettings/printerSettings274.bin"/><Relationship Id="rId3" Type="http://schemas.openxmlformats.org/officeDocument/2006/relationships/printerSettings" Target="../printerSettings/printerSettings259.bin"/><Relationship Id="rId21" Type="http://schemas.openxmlformats.org/officeDocument/2006/relationships/printerSettings" Target="../printerSettings/printerSettings277.bin"/><Relationship Id="rId7" Type="http://schemas.openxmlformats.org/officeDocument/2006/relationships/printerSettings" Target="../printerSettings/printerSettings263.bin"/><Relationship Id="rId12" Type="http://schemas.openxmlformats.org/officeDocument/2006/relationships/printerSettings" Target="../printerSettings/printerSettings268.bin"/><Relationship Id="rId17" Type="http://schemas.openxmlformats.org/officeDocument/2006/relationships/printerSettings" Target="../printerSettings/printerSettings273.bin"/><Relationship Id="rId2" Type="http://schemas.openxmlformats.org/officeDocument/2006/relationships/printerSettings" Target="../printerSettings/printerSettings258.bin"/><Relationship Id="rId16" Type="http://schemas.openxmlformats.org/officeDocument/2006/relationships/printerSettings" Target="../printerSettings/printerSettings272.bin"/><Relationship Id="rId20" Type="http://schemas.openxmlformats.org/officeDocument/2006/relationships/printerSettings" Target="../printerSettings/printerSettings276.bin"/><Relationship Id="rId1" Type="http://schemas.openxmlformats.org/officeDocument/2006/relationships/printerSettings" Target="../printerSettings/printerSettings257.bin"/><Relationship Id="rId6" Type="http://schemas.openxmlformats.org/officeDocument/2006/relationships/printerSettings" Target="../printerSettings/printerSettings262.bin"/><Relationship Id="rId11" Type="http://schemas.openxmlformats.org/officeDocument/2006/relationships/printerSettings" Target="../printerSettings/printerSettings267.bin"/><Relationship Id="rId5" Type="http://schemas.openxmlformats.org/officeDocument/2006/relationships/printerSettings" Target="../printerSettings/printerSettings261.bin"/><Relationship Id="rId15" Type="http://schemas.openxmlformats.org/officeDocument/2006/relationships/printerSettings" Target="../printerSettings/printerSettings271.bin"/><Relationship Id="rId10" Type="http://schemas.openxmlformats.org/officeDocument/2006/relationships/printerSettings" Target="../printerSettings/printerSettings266.bin"/><Relationship Id="rId19" Type="http://schemas.openxmlformats.org/officeDocument/2006/relationships/printerSettings" Target="../printerSettings/printerSettings275.bin"/><Relationship Id="rId4" Type="http://schemas.openxmlformats.org/officeDocument/2006/relationships/printerSettings" Target="../printerSettings/printerSettings260.bin"/><Relationship Id="rId9" Type="http://schemas.openxmlformats.org/officeDocument/2006/relationships/printerSettings" Target="../printerSettings/printerSettings265.bin"/><Relationship Id="rId14" Type="http://schemas.openxmlformats.org/officeDocument/2006/relationships/printerSettings" Target="../printerSettings/printerSettings270.bin"/><Relationship Id="rId22" Type="http://schemas.openxmlformats.org/officeDocument/2006/relationships/printerSettings" Target="../printerSettings/printerSettings278.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86.bin"/><Relationship Id="rId13" Type="http://schemas.openxmlformats.org/officeDocument/2006/relationships/printerSettings" Target="../printerSettings/printerSettings291.bin"/><Relationship Id="rId18" Type="http://schemas.openxmlformats.org/officeDocument/2006/relationships/printerSettings" Target="../printerSettings/printerSettings296.bin"/><Relationship Id="rId3" Type="http://schemas.openxmlformats.org/officeDocument/2006/relationships/printerSettings" Target="../printerSettings/printerSettings281.bin"/><Relationship Id="rId21" Type="http://schemas.openxmlformats.org/officeDocument/2006/relationships/printerSettings" Target="../printerSettings/printerSettings299.bin"/><Relationship Id="rId7" Type="http://schemas.openxmlformats.org/officeDocument/2006/relationships/printerSettings" Target="../printerSettings/printerSettings285.bin"/><Relationship Id="rId12" Type="http://schemas.openxmlformats.org/officeDocument/2006/relationships/printerSettings" Target="../printerSettings/printerSettings290.bin"/><Relationship Id="rId17" Type="http://schemas.openxmlformats.org/officeDocument/2006/relationships/printerSettings" Target="../printerSettings/printerSettings295.bin"/><Relationship Id="rId2" Type="http://schemas.openxmlformats.org/officeDocument/2006/relationships/printerSettings" Target="../printerSettings/printerSettings280.bin"/><Relationship Id="rId16" Type="http://schemas.openxmlformats.org/officeDocument/2006/relationships/printerSettings" Target="../printerSettings/printerSettings294.bin"/><Relationship Id="rId20" Type="http://schemas.openxmlformats.org/officeDocument/2006/relationships/printerSettings" Target="../printerSettings/printerSettings298.bin"/><Relationship Id="rId1" Type="http://schemas.openxmlformats.org/officeDocument/2006/relationships/printerSettings" Target="../printerSettings/printerSettings279.bin"/><Relationship Id="rId6" Type="http://schemas.openxmlformats.org/officeDocument/2006/relationships/printerSettings" Target="../printerSettings/printerSettings284.bin"/><Relationship Id="rId11" Type="http://schemas.openxmlformats.org/officeDocument/2006/relationships/printerSettings" Target="../printerSettings/printerSettings289.bin"/><Relationship Id="rId5" Type="http://schemas.openxmlformats.org/officeDocument/2006/relationships/printerSettings" Target="../printerSettings/printerSettings283.bin"/><Relationship Id="rId15" Type="http://schemas.openxmlformats.org/officeDocument/2006/relationships/printerSettings" Target="../printerSettings/printerSettings293.bin"/><Relationship Id="rId10" Type="http://schemas.openxmlformats.org/officeDocument/2006/relationships/printerSettings" Target="../printerSettings/printerSettings288.bin"/><Relationship Id="rId19" Type="http://schemas.openxmlformats.org/officeDocument/2006/relationships/printerSettings" Target="../printerSettings/printerSettings297.bin"/><Relationship Id="rId4" Type="http://schemas.openxmlformats.org/officeDocument/2006/relationships/printerSettings" Target="../printerSettings/printerSettings282.bin"/><Relationship Id="rId9" Type="http://schemas.openxmlformats.org/officeDocument/2006/relationships/printerSettings" Target="../printerSettings/printerSettings287.bin"/><Relationship Id="rId14" Type="http://schemas.openxmlformats.org/officeDocument/2006/relationships/printerSettings" Target="../printerSettings/printerSettings292.bin"/><Relationship Id="rId22" Type="http://schemas.openxmlformats.org/officeDocument/2006/relationships/printerSettings" Target="../printerSettings/printerSettings300.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308.bin"/><Relationship Id="rId13" Type="http://schemas.openxmlformats.org/officeDocument/2006/relationships/printerSettings" Target="../printerSettings/printerSettings313.bin"/><Relationship Id="rId18" Type="http://schemas.openxmlformats.org/officeDocument/2006/relationships/printerSettings" Target="../printerSettings/printerSettings318.bin"/><Relationship Id="rId3" Type="http://schemas.openxmlformats.org/officeDocument/2006/relationships/printerSettings" Target="../printerSettings/printerSettings303.bin"/><Relationship Id="rId21" Type="http://schemas.openxmlformats.org/officeDocument/2006/relationships/printerSettings" Target="../printerSettings/printerSettings321.bin"/><Relationship Id="rId7" Type="http://schemas.openxmlformats.org/officeDocument/2006/relationships/printerSettings" Target="../printerSettings/printerSettings307.bin"/><Relationship Id="rId12" Type="http://schemas.openxmlformats.org/officeDocument/2006/relationships/printerSettings" Target="../printerSettings/printerSettings312.bin"/><Relationship Id="rId17" Type="http://schemas.openxmlformats.org/officeDocument/2006/relationships/printerSettings" Target="../printerSettings/printerSettings317.bin"/><Relationship Id="rId2" Type="http://schemas.openxmlformats.org/officeDocument/2006/relationships/printerSettings" Target="../printerSettings/printerSettings302.bin"/><Relationship Id="rId16" Type="http://schemas.openxmlformats.org/officeDocument/2006/relationships/printerSettings" Target="../printerSettings/printerSettings316.bin"/><Relationship Id="rId20" Type="http://schemas.openxmlformats.org/officeDocument/2006/relationships/printerSettings" Target="../printerSettings/printerSettings320.bin"/><Relationship Id="rId1" Type="http://schemas.openxmlformats.org/officeDocument/2006/relationships/printerSettings" Target="../printerSettings/printerSettings301.bin"/><Relationship Id="rId6" Type="http://schemas.openxmlformats.org/officeDocument/2006/relationships/printerSettings" Target="../printerSettings/printerSettings306.bin"/><Relationship Id="rId11" Type="http://schemas.openxmlformats.org/officeDocument/2006/relationships/printerSettings" Target="../printerSettings/printerSettings311.bin"/><Relationship Id="rId5" Type="http://schemas.openxmlformats.org/officeDocument/2006/relationships/printerSettings" Target="../printerSettings/printerSettings305.bin"/><Relationship Id="rId15" Type="http://schemas.openxmlformats.org/officeDocument/2006/relationships/printerSettings" Target="../printerSettings/printerSettings315.bin"/><Relationship Id="rId23" Type="http://schemas.openxmlformats.org/officeDocument/2006/relationships/printerSettings" Target="../printerSettings/printerSettings323.bin"/><Relationship Id="rId10" Type="http://schemas.openxmlformats.org/officeDocument/2006/relationships/printerSettings" Target="../printerSettings/printerSettings310.bin"/><Relationship Id="rId19" Type="http://schemas.openxmlformats.org/officeDocument/2006/relationships/printerSettings" Target="../printerSettings/printerSettings319.bin"/><Relationship Id="rId4" Type="http://schemas.openxmlformats.org/officeDocument/2006/relationships/printerSettings" Target="../printerSettings/printerSettings304.bin"/><Relationship Id="rId9" Type="http://schemas.openxmlformats.org/officeDocument/2006/relationships/printerSettings" Target="../printerSettings/printerSettings309.bin"/><Relationship Id="rId14" Type="http://schemas.openxmlformats.org/officeDocument/2006/relationships/printerSettings" Target="../printerSettings/printerSettings314.bin"/><Relationship Id="rId22" Type="http://schemas.openxmlformats.org/officeDocument/2006/relationships/printerSettings" Target="../printerSettings/printerSettings322.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331.bin"/><Relationship Id="rId13" Type="http://schemas.openxmlformats.org/officeDocument/2006/relationships/printerSettings" Target="../printerSettings/printerSettings336.bin"/><Relationship Id="rId18" Type="http://schemas.openxmlformats.org/officeDocument/2006/relationships/printerSettings" Target="../printerSettings/printerSettings341.bin"/><Relationship Id="rId3" Type="http://schemas.openxmlformats.org/officeDocument/2006/relationships/printerSettings" Target="../printerSettings/printerSettings326.bin"/><Relationship Id="rId21" Type="http://schemas.openxmlformats.org/officeDocument/2006/relationships/printerSettings" Target="../printerSettings/printerSettings344.bin"/><Relationship Id="rId7" Type="http://schemas.openxmlformats.org/officeDocument/2006/relationships/printerSettings" Target="../printerSettings/printerSettings330.bin"/><Relationship Id="rId12" Type="http://schemas.openxmlformats.org/officeDocument/2006/relationships/printerSettings" Target="../printerSettings/printerSettings335.bin"/><Relationship Id="rId17" Type="http://schemas.openxmlformats.org/officeDocument/2006/relationships/printerSettings" Target="../printerSettings/printerSettings340.bin"/><Relationship Id="rId2" Type="http://schemas.openxmlformats.org/officeDocument/2006/relationships/printerSettings" Target="../printerSettings/printerSettings325.bin"/><Relationship Id="rId16" Type="http://schemas.openxmlformats.org/officeDocument/2006/relationships/printerSettings" Target="../printerSettings/printerSettings339.bin"/><Relationship Id="rId20" Type="http://schemas.openxmlformats.org/officeDocument/2006/relationships/printerSettings" Target="../printerSettings/printerSettings343.bin"/><Relationship Id="rId1" Type="http://schemas.openxmlformats.org/officeDocument/2006/relationships/printerSettings" Target="../printerSettings/printerSettings324.bin"/><Relationship Id="rId6" Type="http://schemas.openxmlformats.org/officeDocument/2006/relationships/printerSettings" Target="../printerSettings/printerSettings329.bin"/><Relationship Id="rId11" Type="http://schemas.openxmlformats.org/officeDocument/2006/relationships/printerSettings" Target="../printerSettings/printerSettings334.bin"/><Relationship Id="rId5" Type="http://schemas.openxmlformats.org/officeDocument/2006/relationships/printerSettings" Target="../printerSettings/printerSettings328.bin"/><Relationship Id="rId15" Type="http://schemas.openxmlformats.org/officeDocument/2006/relationships/printerSettings" Target="../printerSettings/printerSettings338.bin"/><Relationship Id="rId23" Type="http://schemas.openxmlformats.org/officeDocument/2006/relationships/printerSettings" Target="../printerSettings/printerSettings346.bin"/><Relationship Id="rId10" Type="http://schemas.openxmlformats.org/officeDocument/2006/relationships/printerSettings" Target="../printerSettings/printerSettings333.bin"/><Relationship Id="rId19" Type="http://schemas.openxmlformats.org/officeDocument/2006/relationships/printerSettings" Target="../printerSettings/printerSettings342.bin"/><Relationship Id="rId4" Type="http://schemas.openxmlformats.org/officeDocument/2006/relationships/printerSettings" Target="../printerSettings/printerSettings327.bin"/><Relationship Id="rId9" Type="http://schemas.openxmlformats.org/officeDocument/2006/relationships/printerSettings" Target="../printerSettings/printerSettings332.bin"/><Relationship Id="rId14" Type="http://schemas.openxmlformats.org/officeDocument/2006/relationships/printerSettings" Target="../printerSettings/printerSettings337.bin"/><Relationship Id="rId22" Type="http://schemas.openxmlformats.org/officeDocument/2006/relationships/printerSettings" Target="../printerSettings/printerSettings34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354.bin"/><Relationship Id="rId13" Type="http://schemas.openxmlformats.org/officeDocument/2006/relationships/printerSettings" Target="../printerSettings/printerSettings359.bin"/><Relationship Id="rId18" Type="http://schemas.openxmlformats.org/officeDocument/2006/relationships/printerSettings" Target="../printerSettings/printerSettings364.bin"/><Relationship Id="rId3" Type="http://schemas.openxmlformats.org/officeDocument/2006/relationships/printerSettings" Target="../printerSettings/printerSettings349.bin"/><Relationship Id="rId21" Type="http://schemas.openxmlformats.org/officeDocument/2006/relationships/printerSettings" Target="../printerSettings/printerSettings367.bin"/><Relationship Id="rId7" Type="http://schemas.openxmlformats.org/officeDocument/2006/relationships/printerSettings" Target="../printerSettings/printerSettings353.bin"/><Relationship Id="rId12" Type="http://schemas.openxmlformats.org/officeDocument/2006/relationships/printerSettings" Target="../printerSettings/printerSettings358.bin"/><Relationship Id="rId17" Type="http://schemas.openxmlformats.org/officeDocument/2006/relationships/printerSettings" Target="../printerSettings/printerSettings363.bin"/><Relationship Id="rId2" Type="http://schemas.openxmlformats.org/officeDocument/2006/relationships/printerSettings" Target="../printerSettings/printerSettings348.bin"/><Relationship Id="rId16" Type="http://schemas.openxmlformats.org/officeDocument/2006/relationships/printerSettings" Target="../printerSettings/printerSettings362.bin"/><Relationship Id="rId20" Type="http://schemas.openxmlformats.org/officeDocument/2006/relationships/printerSettings" Target="../printerSettings/printerSettings366.bin"/><Relationship Id="rId1" Type="http://schemas.openxmlformats.org/officeDocument/2006/relationships/printerSettings" Target="../printerSettings/printerSettings347.bin"/><Relationship Id="rId6" Type="http://schemas.openxmlformats.org/officeDocument/2006/relationships/printerSettings" Target="../printerSettings/printerSettings352.bin"/><Relationship Id="rId11" Type="http://schemas.openxmlformats.org/officeDocument/2006/relationships/printerSettings" Target="../printerSettings/printerSettings357.bin"/><Relationship Id="rId5" Type="http://schemas.openxmlformats.org/officeDocument/2006/relationships/printerSettings" Target="../printerSettings/printerSettings351.bin"/><Relationship Id="rId15" Type="http://schemas.openxmlformats.org/officeDocument/2006/relationships/printerSettings" Target="../printerSettings/printerSettings361.bin"/><Relationship Id="rId23" Type="http://schemas.openxmlformats.org/officeDocument/2006/relationships/printerSettings" Target="../printerSettings/printerSettings369.bin"/><Relationship Id="rId10" Type="http://schemas.openxmlformats.org/officeDocument/2006/relationships/printerSettings" Target="../printerSettings/printerSettings356.bin"/><Relationship Id="rId19" Type="http://schemas.openxmlformats.org/officeDocument/2006/relationships/printerSettings" Target="../printerSettings/printerSettings365.bin"/><Relationship Id="rId4" Type="http://schemas.openxmlformats.org/officeDocument/2006/relationships/printerSettings" Target="../printerSettings/printerSettings350.bin"/><Relationship Id="rId9" Type="http://schemas.openxmlformats.org/officeDocument/2006/relationships/printerSettings" Target="../printerSettings/printerSettings355.bin"/><Relationship Id="rId14" Type="http://schemas.openxmlformats.org/officeDocument/2006/relationships/printerSettings" Target="../printerSettings/printerSettings360.bin"/><Relationship Id="rId22" Type="http://schemas.openxmlformats.org/officeDocument/2006/relationships/printerSettings" Target="../printerSettings/printerSettings36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18" Type="http://schemas.openxmlformats.org/officeDocument/2006/relationships/printerSettings" Target="../printerSettings/printerSettings44.bin"/><Relationship Id="rId3" Type="http://schemas.openxmlformats.org/officeDocument/2006/relationships/printerSettings" Target="../printerSettings/printerSettings29.bin"/><Relationship Id="rId21" Type="http://schemas.openxmlformats.org/officeDocument/2006/relationships/printerSettings" Target="../printerSettings/printerSettings47.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17" Type="http://schemas.openxmlformats.org/officeDocument/2006/relationships/printerSettings" Target="../printerSettings/printerSettings43.bin"/><Relationship Id="rId25" Type="http://schemas.openxmlformats.org/officeDocument/2006/relationships/comments" Target="../comments2.xml"/><Relationship Id="rId2" Type="http://schemas.openxmlformats.org/officeDocument/2006/relationships/printerSettings" Target="../printerSettings/printerSettings28.bin"/><Relationship Id="rId16" Type="http://schemas.openxmlformats.org/officeDocument/2006/relationships/printerSettings" Target="../printerSettings/printerSettings42.bin"/><Relationship Id="rId20" Type="http://schemas.openxmlformats.org/officeDocument/2006/relationships/printerSettings" Target="../printerSettings/printerSettings46.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24" Type="http://schemas.openxmlformats.org/officeDocument/2006/relationships/vmlDrawing" Target="../drawings/vmlDrawing2.vml"/><Relationship Id="rId5" Type="http://schemas.openxmlformats.org/officeDocument/2006/relationships/printerSettings" Target="../printerSettings/printerSettings31.bin"/><Relationship Id="rId15" Type="http://schemas.openxmlformats.org/officeDocument/2006/relationships/printerSettings" Target="../printerSettings/printerSettings41.bin"/><Relationship Id="rId23" Type="http://schemas.openxmlformats.org/officeDocument/2006/relationships/printerSettings" Target="../printerSettings/printerSettings49.bin"/><Relationship Id="rId10" Type="http://schemas.openxmlformats.org/officeDocument/2006/relationships/printerSettings" Target="../printerSettings/printerSettings36.bin"/><Relationship Id="rId19" Type="http://schemas.openxmlformats.org/officeDocument/2006/relationships/printerSettings" Target="../printerSettings/printerSettings45.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40.bin"/><Relationship Id="rId22" Type="http://schemas.openxmlformats.org/officeDocument/2006/relationships/printerSettings" Target="../printerSettings/printerSettings48.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7.bin"/><Relationship Id="rId13" Type="http://schemas.openxmlformats.org/officeDocument/2006/relationships/printerSettings" Target="../printerSettings/printerSettings62.bin"/><Relationship Id="rId18" Type="http://schemas.openxmlformats.org/officeDocument/2006/relationships/printerSettings" Target="../printerSettings/printerSettings67.bin"/><Relationship Id="rId3" Type="http://schemas.openxmlformats.org/officeDocument/2006/relationships/printerSettings" Target="../printerSettings/printerSettings52.bin"/><Relationship Id="rId21" Type="http://schemas.openxmlformats.org/officeDocument/2006/relationships/printerSettings" Target="../printerSettings/printerSettings70.bin"/><Relationship Id="rId7" Type="http://schemas.openxmlformats.org/officeDocument/2006/relationships/printerSettings" Target="../printerSettings/printerSettings56.bin"/><Relationship Id="rId12" Type="http://schemas.openxmlformats.org/officeDocument/2006/relationships/printerSettings" Target="../printerSettings/printerSettings61.bin"/><Relationship Id="rId17" Type="http://schemas.openxmlformats.org/officeDocument/2006/relationships/printerSettings" Target="../printerSettings/printerSettings66.bin"/><Relationship Id="rId2" Type="http://schemas.openxmlformats.org/officeDocument/2006/relationships/printerSettings" Target="../printerSettings/printerSettings51.bin"/><Relationship Id="rId16" Type="http://schemas.openxmlformats.org/officeDocument/2006/relationships/printerSettings" Target="../printerSettings/printerSettings65.bin"/><Relationship Id="rId20" Type="http://schemas.openxmlformats.org/officeDocument/2006/relationships/printerSettings" Target="../printerSettings/printerSettings69.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11" Type="http://schemas.openxmlformats.org/officeDocument/2006/relationships/printerSettings" Target="../printerSettings/printerSettings60.bin"/><Relationship Id="rId5" Type="http://schemas.openxmlformats.org/officeDocument/2006/relationships/printerSettings" Target="../printerSettings/printerSettings54.bin"/><Relationship Id="rId15" Type="http://schemas.openxmlformats.org/officeDocument/2006/relationships/printerSettings" Target="../printerSettings/printerSettings64.bin"/><Relationship Id="rId23" Type="http://schemas.openxmlformats.org/officeDocument/2006/relationships/printerSettings" Target="../printerSettings/printerSettings72.bin"/><Relationship Id="rId10" Type="http://schemas.openxmlformats.org/officeDocument/2006/relationships/printerSettings" Target="../printerSettings/printerSettings59.bin"/><Relationship Id="rId19" Type="http://schemas.openxmlformats.org/officeDocument/2006/relationships/printerSettings" Target="../printerSettings/printerSettings68.bin"/><Relationship Id="rId4" Type="http://schemas.openxmlformats.org/officeDocument/2006/relationships/printerSettings" Target="../printerSettings/printerSettings53.bin"/><Relationship Id="rId9" Type="http://schemas.openxmlformats.org/officeDocument/2006/relationships/printerSettings" Target="../printerSettings/printerSettings58.bin"/><Relationship Id="rId14" Type="http://schemas.openxmlformats.org/officeDocument/2006/relationships/printerSettings" Target="../printerSettings/printerSettings63.bin"/><Relationship Id="rId22" Type="http://schemas.openxmlformats.org/officeDocument/2006/relationships/printerSettings" Target="../printerSettings/printerSettings71.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80.bin"/><Relationship Id="rId13" Type="http://schemas.openxmlformats.org/officeDocument/2006/relationships/printerSettings" Target="../printerSettings/printerSettings85.bin"/><Relationship Id="rId18" Type="http://schemas.openxmlformats.org/officeDocument/2006/relationships/printerSettings" Target="../printerSettings/printerSettings90.bin"/><Relationship Id="rId3" Type="http://schemas.openxmlformats.org/officeDocument/2006/relationships/printerSettings" Target="../printerSettings/printerSettings75.bin"/><Relationship Id="rId21" Type="http://schemas.openxmlformats.org/officeDocument/2006/relationships/printerSettings" Target="../printerSettings/printerSettings93.bin"/><Relationship Id="rId7" Type="http://schemas.openxmlformats.org/officeDocument/2006/relationships/printerSettings" Target="../printerSettings/printerSettings79.bin"/><Relationship Id="rId12" Type="http://schemas.openxmlformats.org/officeDocument/2006/relationships/printerSettings" Target="../printerSettings/printerSettings84.bin"/><Relationship Id="rId17" Type="http://schemas.openxmlformats.org/officeDocument/2006/relationships/printerSettings" Target="../printerSettings/printerSettings89.bin"/><Relationship Id="rId2" Type="http://schemas.openxmlformats.org/officeDocument/2006/relationships/printerSettings" Target="../printerSettings/printerSettings74.bin"/><Relationship Id="rId16" Type="http://schemas.openxmlformats.org/officeDocument/2006/relationships/printerSettings" Target="../printerSettings/printerSettings88.bin"/><Relationship Id="rId20" Type="http://schemas.openxmlformats.org/officeDocument/2006/relationships/printerSettings" Target="../printerSettings/printerSettings92.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11" Type="http://schemas.openxmlformats.org/officeDocument/2006/relationships/printerSettings" Target="../printerSettings/printerSettings83.bin"/><Relationship Id="rId5" Type="http://schemas.openxmlformats.org/officeDocument/2006/relationships/printerSettings" Target="../printerSettings/printerSettings77.bin"/><Relationship Id="rId15" Type="http://schemas.openxmlformats.org/officeDocument/2006/relationships/printerSettings" Target="../printerSettings/printerSettings87.bin"/><Relationship Id="rId23" Type="http://schemas.openxmlformats.org/officeDocument/2006/relationships/printerSettings" Target="../printerSettings/printerSettings95.bin"/><Relationship Id="rId10" Type="http://schemas.openxmlformats.org/officeDocument/2006/relationships/printerSettings" Target="../printerSettings/printerSettings82.bin"/><Relationship Id="rId19" Type="http://schemas.openxmlformats.org/officeDocument/2006/relationships/printerSettings" Target="../printerSettings/printerSettings91.bin"/><Relationship Id="rId4" Type="http://schemas.openxmlformats.org/officeDocument/2006/relationships/printerSettings" Target="../printerSettings/printerSettings76.bin"/><Relationship Id="rId9" Type="http://schemas.openxmlformats.org/officeDocument/2006/relationships/printerSettings" Target="../printerSettings/printerSettings81.bin"/><Relationship Id="rId14" Type="http://schemas.openxmlformats.org/officeDocument/2006/relationships/printerSettings" Target="../printerSettings/printerSettings86.bin"/><Relationship Id="rId22" Type="http://schemas.openxmlformats.org/officeDocument/2006/relationships/printerSettings" Target="../printerSettings/printerSettings94.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103.bin"/><Relationship Id="rId13" Type="http://schemas.openxmlformats.org/officeDocument/2006/relationships/printerSettings" Target="../printerSettings/printerSettings108.bin"/><Relationship Id="rId18" Type="http://schemas.openxmlformats.org/officeDocument/2006/relationships/printerSettings" Target="../printerSettings/printerSettings113.bin"/><Relationship Id="rId3" Type="http://schemas.openxmlformats.org/officeDocument/2006/relationships/printerSettings" Target="../printerSettings/printerSettings98.bin"/><Relationship Id="rId21" Type="http://schemas.openxmlformats.org/officeDocument/2006/relationships/printerSettings" Target="../printerSettings/printerSettings116.bin"/><Relationship Id="rId7" Type="http://schemas.openxmlformats.org/officeDocument/2006/relationships/printerSettings" Target="../printerSettings/printerSettings102.bin"/><Relationship Id="rId12" Type="http://schemas.openxmlformats.org/officeDocument/2006/relationships/printerSettings" Target="../printerSettings/printerSettings107.bin"/><Relationship Id="rId17" Type="http://schemas.openxmlformats.org/officeDocument/2006/relationships/printerSettings" Target="../printerSettings/printerSettings112.bin"/><Relationship Id="rId2" Type="http://schemas.openxmlformats.org/officeDocument/2006/relationships/printerSettings" Target="../printerSettings/printerSettings97.bin"/><Relationship Id="rId16" Type="http://schemas.openxmlformats.org/officeDocument/2006/relationships/printerSettings" Target="../printerSettings/printerSettings111.bin"/><Relationship Id="rId20" Type="http://schemas.openxmlformats.org/officeDocument/2006/relationships/printerSettings" Target="../printerSettings/printerSettings115.bin"/><Relationship Id="rId1" Type="http://schemas.openxmlformats.org/officeDocument/2006/relationships/printerSettings" Target="../printerSettings/printerSettings96.bin"/><Relationship Id="rId6" Type="http://schemas.openxmlformats.org/officeDocument/2006/relationships/printerSettings" Target="../printerSettings/printerSettings101.bin"/><Relationship Id="rId11" Type="http://schemas.openxmlformats.org/officeDocument/2006/relationships/printerSettings" Target="../printerSettings/printerSettings106.bin"/><Relationship Id="rId5" Type="http://schemas.openxmlformats.org/officeDocument/2006/relationships/printerSettings" Target="../printerSettings/printerSettings100.bin"/><Relationship Id="rId15" Type="http://schemas.openxmlformats.org/officeDocument/2006/relationships/printerSettings" Target="../printerSettings/printerSettings110.bin"/><Relationship Id="rId23" Type="http://schemas.openxmlformats.org/officeDocument/2006/relationships/printerSettings" Target="../printerSettings/printerSettings118.bin"/><Relationship Id="rId10" Type="http://schemas.openxmlformats.org/officeDocument/2006/relationships/printerSettings" Target="../printerSettings/printerSettings105.bin"/><Relationship Id="rId19" Type="http://schemas.openxmlformats.org/officeDocument/2006/relationships/printerSettings" Target="../printerSettings/printerSettings114.bin"/><Relationship Id="rId4" Type="http://schemas.openxmlformats.org/officeDocument/2006/relationships/printerSettings" Target="../printerSettings/printerSettings99.bin"/><Relationship Id="rId9" Type="http://schemas.openxmlformats.org/officeDocument/2006/relationships/printerSettings" Target="../printerSettings/printerSettings104.bin"/><Relationship Id="rId14" Type="http://schemas.openxmlformats.org/officeDocument/2006/relationships/printerSettings" Target="../printerSettings/printerSettings109.bin"/><Relationship Id="rId22" Type="http://schemas.openxmlformats.org/officeDocument/2006/relationships/printerSettings" Target="../printerSettings/printerSettings11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26.bin"/><Relationship Id="rId13" Type="http://schemas.openxmlformats.org/officeDocument/2006/relationships/printerSettings" Target="../printerSettings/printerSettings131.bin"/><Relationship Id="rId18" Type="http://schemas.openxmlformats.org/officeDocument/2006/relationships/printerSettings" Target="../printerSettings/printerSettings136.bin"/><Relationship Id="rId3" Type="http://schemas.openxmlformats.org/officeDocument/2006/relationships/printerSettings" Target="../printerSettings/printerSettings121.bin"/><Relationship Id="rId21" Type="http://schemas.openxmlformats.org/officeDocument/2006/relationships/printerSettings" Target="../printerSettings/printerSettings139.bin"/><Relationship Id="rId7" Type="http://schemas.openxmlformats.org/officeDocument/2006/relationships/printerSettings" Target="../printerSettings/printerSettings125.bin"/><Relationship Id="rId12" Type="http://schemas.openxmlformats.org/officeDocument/2006/relationships/printerSettings" Target="../printerSettings/printerSettings130.bin"/><Relationship Id="rId17" Type="http://schemas.openxmlformats.org/officeDocument/2006/relationships/printerSettings" Target="../printerSettings/printerSettings135.bin"/><Relationship Id="rId2" Type="http://schemas.openxmlformats.org/officeDocument/2006/relationships/printerSettings" Target="../printerSettings/printerSettings120.bin"/><Relationship Id="rId16" Type="http://schemas.openxmlformats.org/officeDocument/2006/relationships/printerSettings" Target="../printerSettings/printerSettings134.bin"/><Relationship Id="rId20" Type="http://schemas.openxmlformats.org/officeDocument/2006/relationships/printerSettings" Target="../printerSettings/printerSettings138.bin"/><Relationship Id="rId1" Type="http://schemas.openxmlformats.org/officeDocument/2006/relationships/printerSettings" Target="../printerSettings/printerSettings119.bin"/><Relationship Id="rId6" Type="http://schemas.openxmlformats.org/officeDocument/2006/relationships/printerSettings" Target="../printerSettings/printerSettings124.bin"/><Relationship Id="rId11" Type="http://schemas.openxmlformats.org/officeDocument/2006/relationships/printerSettings" Target="../printerSettings/printerSettings129.bin"/><Relationship Id="rId5" Type="http://schemas.openxmlformats.org/officeDocument/2006/relationships/printerSettings" Target="../printerSettings/printerSettings123.bin"/><Relationship Id="rId15" Type="http://schemas.openxmlformats.org/officeDocument/2006/relationships/printerSettings" Target="../printerSettings/printerSettings133.bin"/><Relationship Id="rId23" Type="http://schemas.openxmlformats.org/officeDocument/2006/relationships/printerSettings" Target="../printerSettings/printerSettings141.bin"/><Relationship Id="rId10" Type="http://schemas.openxmlformats.org/officeDocument/2006/relationships/printerSettings" Target="../printerSettings/printerSettings128.bin"/><Relationship Id="rId19" Type="http://schemas.openxmlformats.org/officeDocument/2006/relationships/printerSettings" Target="../printerSettings/printerSettings137.bin"/><Relationship Id="rId4" Type="http://schemas.openxmlformats.org/officeDocument/2006/relationships/printerSettings" Target="../printerSettings/printerSettings122.bin"/><Relationship Id="rId9" Type="http://schemas.openxmlformats.org/officeDocument/2006/relationships/printerSettings" Target="../printerSettings/printerSettings127.bin"/><Relationship Id="rId14" Type="http://schemas.openxmlformats.org/officeDocument/2006/relationships/printerSettings" Target="../printerSettings/printerSettings132.bin"/><Relationship Id="rId22" Type="http://schemas.openxmlformats.org/officeDocument/2006/relationships/printerSettings" Target="../printerSettings/printerSettings140.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49.bin"/><Relationship Id="rId13" Type="http://schemas.openxmlformats.org/officeDocument/2006/relationships/printerSettings" Target="../printerSettings/printerSettings154.bin"/><Relationship Id="rId18" Type="http://schemas.openxmlformats.org/officeDocument/2006/relationships/printerSettings" Target="../printerSettings/printerSettings159.bin"/><Relationship Id="rId3" Type="http://schemas.openxmlformats.org/officeDocument/2006/relationships/printerSettings" Target="../printerSettings/printerSettings144.bin"/><Relationship Id="rId21" Type="http://schemas.openxmlformats.org/officeDocument/2006/relationships/printerSettings" Target="../printerSettings/printerSettings162.bin"/><Relationship Id="rId7" Type="http://schemas.openxmlformats.org/officeDocument/2006/relationships/printerSettings" Target="../printerSettings/printerSettings148.bin"/><Relationship Id="rId12" Type="http://schemas.openxmlformats.org/officeDocument/2006/relationships/printerSettings" Target="../printerSettings/printerSettings153.bin"/><Relationship Id="rId17" Type="http://schemas.openxmlformats.org/officeDocument/2006/relationships/printerSettings" Target="../printerSettings/printerSettings158.bin"/><Relationship Id="rId2" Type="http://schemas.openxmlformats.org/officeDocument/2006/relationships/printerSettings" Target="../printerSettings/printerSettings143.bin"/><Relationship Id="rId16" Type="http://schemas.openxmlformats.org/officeDocument/2006/relationships/printerSettings" Target="../printerSettings/printerSettings157.bin"/><Relationship Id="rId20" Type="http://schemas.openxmlformats.org/officeDocument/2006/relationships/printerSettings" Target="../printerSettings/printerSettings161.bin"/><Relationship Id="rId1" Type="http://schemas.openxmlformats.org/officeDocument/2006/relationships/printerSettings" Target="../printerSettings/printerSettings142.bin"/><Relationship Id="rId6" Type="http://schemas.openxmlformats.org/officeDocument/2006/relationships/printerSettings" Target="../printerSettings/printerSettings147.bin"/><Relationship Id="rId11" Type="http://schemas.openxmlformats.org/officeDocument/2006/relationships/printerSettings" Target="../printerSettings/printerSettings152.bin"/><Relationship Id="rId5" Type="http://schemas.openxmlformats.org/officeDocument/2006/relationships/printerSettings" Target="../printerSettings/printerSettings146.bin"/><Relationship Id="rId15" Type="http://schemas.openxmlformats.org/officeDocument/2006/relationships/printerSettings" Target="../printerSettings/printerSettings156.bin"/><Relationship Id="rId23" Type="http://schemas.openxmlformats.org/officeDocument/2006/relationships/printerSettings" Target="../printerSettings/printerSettings164.bin"/><Relationship Id="rId10" Type="http://schemas.openxmlformats.org/officeDocument/2006/relationships/printerSettings" Target="../printerSettings/printerSettings151.bin"/><Relationship Id="rId19" Type="http://schemas.openxmlformats.org/officeDocument/2006/relationships/printerSettings" Target="../printerSettings/printerSettings160.bin"/><Relationship Id="rId4" Type="http://schemas.openxmlformats.org/officeDocument/2006/relationships/printerSettings" Target="../printerSettings/printerSettings145.bin"/><Relationship Id="rId9" Type="http://schemas.openxmlformats.org/officeDocument/2006/relationships/printerSettings" Target="../printerSettings/printerSettings150.bin"/><Relationship Id="rId14" Type="http://schemas.openxmlformats.org/officeDocument/2006/relationships/printerSettings" Target="../printerSettings/printerSettings155.bin"/><Relationship Id="rId22" Type="http://schemas.openxmlformats.org/officeDocument/2006/relationships/printerSettings" Target="../printerSettings/printerSettings16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104"/>
  <sheetViews>
    <sheetView zoomScale="80" zoomScaleNormal="80" workbookViewId="0">
      <pane xSplit="6" ySplit="7" topLeftCell="G29" activePane="bottomRight" state="frozen"/>
      <selection pane="topRight" activeCell="G1" sqref="G1"/>
      <selection pane="bottomLeft" activeCell="A8" sqref="A8"/>
      <selection pane="bottomRight" activeCell="A8" sqref="A8:XFD12"/>
    </sheetView>
  </sheetViews>
  <sheetFormatPr defaultColWidth="9.140625" defaultRowHeight="15" x14ac:dyDescent="0.25"/>
  <cols>
    <col min="1" max="1" width="6.5703125" style="8" customWidth="1"/>
    <col min="2" max="2" width="41.7109375" style="8" customWidth="1"/>
    <col min="3" max="3" width="20.85546875" style="9" customWidth="1"/>
    <col min="4" max="4" width="18" style="130" customWidth="1"/>
    <col min="5" max="5" width="14.7109375" style="8" customWidth="1"/>
    <col min="6" max="6" width="15" style="8" customWidth="1"/>
    <col min="7" max="7" width="13.85546875" style="8" customWidth="1"/>
    <col min="8" max="8" width="12.140625" style="8" customWidth="1"/>
    <col min="9" max="9" width="10.85546875" style="8" customWidth="1"/>
    <col min="10" max="10" width="14.28515625" style="8" customWidth="1"/>
    <col min="11" max="11" width="13.5703125" style="8" customWidth="1"/>
    <col min="12" max="12" width="15.140625" style="8" customWidth="1"/>
    <col min="13" max="13" width="13" style="8" customWidth="1"/>
    <col min="14" max="14" width="15.28515625" style="8" customWidth="1"/>
    <col min="15" max="15" width="13.7109375" style="8" customWidth="1"/>
    <col min="16" max="16" width="15" style="8" customWidth="1"/>
    <col min="17" max="17" width="11.5703125" style="8" customWidth="1"/>
    <col min="18" max="18" width="14.42578125"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5" style="8" customWidth="1"/>
    <col min="25" max="25" width="11.5703125" style="8" customWidth="1"/>
    <col min="26" max="26" width="16.140625" style="8" customWidth="1"/>
    <col min="27" max="27" width="11.5703125" style="8" customWidth="1"/>
    <col min="28" max="28" width="14.85546875" style="8" customWidth="1"/>
    <col min="29" max="29" width="11.5703125" style="8" customWidth="1"/>
    <col min="30" max="30" width="13.42578125" style="8" customWidth="1"/>
    <col min="31" max="31" width="11.5703125" style="8" customWidth="1"/>
    <col min="32" max="32" width="15" style="8" customWidth="1"/>
    <col min="33" max="33" width="11.5703125" style="8" customWidth="1"/>
    <col min="34" max="34" width="38.5703125" style="8" customWidth="1"/>
    <col min="35" max="16384" width="9.140625" style="8"/>
  </cols>
  <sheetData>
    <row r="1" spans="1:35" s="10" customFormat="1" ht="23.25" customHeight="1" x14ac:dyDescent="0.25">
      <c r="C1" s="119"/>
      <c r="D1" s="120"/>
      <c r="E1" s="13"/>
      <c r="F1" s="13"/>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5" s="10" customFormat="1" ht="15.75" x14ac:dyDescent="0.25">
      <c r="A2" s="55"/>
      <c r="B2" s="55"/>
      <c r="C2" s="346" t="s">
        <v>24</v>
      </c>
      <c r="D2" s="346"/>
      <c r="E2" s="346"/>
      <c r="F2" s="346"/>
      <c r="G2" s="346"/>
      <c r="H2" s="346"/>
      <c r="I2" s="346"/>
      <c r="J2" s="346"/>
      <c r="K2" s="346"/>
      <c r="L2" s="346"/>
      <c r="M2" s="346"/>
      <c r="N2" s="346"/>
      <c r="O2" s="346"/>
      <c r="P2" s="346"/>
      <c r="Q2" s="346"/>
      <c r="R2" s="346"/>
      <c r="S2" s="346"/>
      <c r="T2" s="35"/>
      <c r="U2" s="35"/>
      <c r="V2" s="35"/>
      <c r="W2" s="35"/>
      <c r="X2" s="35"/>
      <c r="Y2" s="35"/>
      <c r="Z2" s="35"/>
      <c r="AA2" s="35"/>
      <c r="AB2" s="35"/>
      <c r="AC2" s="35"/>
      <c r="AD2" s="35"/>
      <c r="AE2" s="35"/>
      <c r="AF2" s="35"/>
      <c r="AG2" s="35"/>
      <c r="AH2" s="35"/>
    </row>
    <row r="3" spans="1:35" s="10" customFormat="1" ht="27" customHeight="1" x14ac:dyDescent="0.25">
      <c r="A3" s="55"/>
      <c r="B3" s="55"/>
      <c r="C3" s="347" t="s">
        <v>239</v>
      </c>
      <c r="D3" s="347"/>
      <c r="E3" s="347"/>
      <c r="F3" s="347"/>
      <c r="G3" s="347"/>
      <c r="H3" s="347"/>
      <c r="I3" s="347"/>
      <c r="J3" s="347"/>
      <c r="K3" s="347"/>
      <c r="L3" s="347"/>
      <c r="M3" s="347"/>
      <c r="N3" s="347"/>
      <c r="O3" s="347"/>
      <c r="P3" s="347"/>
      <c r="Q3" s="347"/>
      <c r="R3" s="347"/>
      <c r="S3" s="347"/>
      <c r="T3" s="36"/>
      <c r="U3" s="36"/>
      <c r="V3" s="36"/>
      <c r="W3" s="36"/>
      <c r="X3" s="36"/>
      <c r="Y3" s="36"/>
      <c r="Z3" s="36"/>
      <c r="AA3" s="36"/>
      <c r="AB3" s="36"/>
      <c r="AC3" s="36"/>
      <c r="AD3" s="37"/>
      <c r="AE3" s="37"/>
      <c r="AF3" s="37"/>
      <c r="AG3" s="37" t="s">
        <v>0</v>
      </c>
      <c r="AH3" s="37"/>
    </row>
    <row r="4" spans="1:35" s="10" customFormat="1" ht="15" customHeight="1" x14ac:dyDescent="0.25">
      <c r="A4" s="348" t="s">
        <v>26</v>
      </c>
      <c r="B4" s="351" t="s">
        <v>29</v>
      </c>
      <c r="C4" s="354" t="s">
        <v>30</v>
      </c>
      <c r="D4" s="357"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10" customFormat="1" ht="39" customHeight="1" x14ac:dyDescent="0.25">
      <c r="A5" s="349"/>
      <c r="B5" s="352"/>
      <c r="C5" s="355"/>
      <c r="D5" s="358"/>
      <c r="E5" s="360"/>
      <c r="F5" s="360"/>
      <c r="G5" s="360"/>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5" s="10" customFormat="1" ht="64.5" customHeight="1" x14ac:dyDescent="0.25">
      <c r="A6" s="350"/>
      <c r="B6" s="353"/>
      <c r="C6" s="356"/>
      <c r="D6" s="121">
        <v>2025</v>
      </c>
      <c r="E6" s="39">
        <v>45778</v>
      </c>
      <c r="F6" s="39">
        <v>45778</v>
      </c>
      <c r="G6" s="39">
        <v>45778</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32" customFormat="1" ht="15.75" x14ac:dyDescent="0.25">
      <c r="A7" s="40">
        <v>1</v>
      </c>
      <c r="B7" s="40">
        <v>2</v>
      </c>
      <c r="C7" s="122">
        <v>3</v>
      </c>
      <c r="D7" s="40">
        <v>4</v>
      </c>
      <c r="E7" s="40">
        <v>5</v>
      </c>
      <c r="F7" s="40">
        <v>6</v>
      </c>
      <c r="G7" s="40">
        <v>7</v>
      </c>
      <c r="H7" s="40">
        <v>8</v>
      </c>
      <c r="I7" s="40">
        <v>9</v>
      </c>
      <c r="J7" s="40">
        <v>10</v>
      </c>
      <c r="K7" s="40">
        <v>11</v>
      </c>
      <c r="L7" s="40">
        <v>12</v>
      </c>
      <c r="M7" s="40">
        <v>13</v>
      </c>
      <c r="N7" s="40">
        <v>14</v>
      </c>
      <c r="O7" s="40">
        <v>15</v>
      </c>
      <c r="P7" s="40">
        <v>16</v>
      </c>
      <c r="Q7" s="40">
        <v>17</v>
      </c>
      <c r="R7" s="40">
        <v>18</v>
      </c>
      <c r="S7" s="40">
        <v>19</v>
      </c>
      <c r="T7" s="40">
        <v>20</v>
      </c>
      <c r="U7" s="40">
        <v>21</v>
      </c>
      <c r="V7" s="40">
        <v>22</v>
      </c>
      <c r="W7" s="40">
        <v>23</v>
      </c>
      <c r="X7" s="40">
        <v>24</v>
      </c>
      <c r="Y7" s="40">
        <v>25</v>
      </c>
      <c r="Z7" s="40">
        <v>26</v>
      </c>
      <c r="AA7" s="40">
        <v>27</v>
      </c>
      <c r="AB7" s="40">
        <v>28</v>
      </c>
      <c r="AC7" s="40">
        <v>29</v>
      </c>
      <c r="AD7" s="40">
        <v>30</v>
      </c>
      <c r="AE7" s="40">
        <v>31</v>
      </c>
      <c r="AF7" s="40">
        <v>32</v>
      </c>
      <c r="AG7" s="40">
        <v>33</v>
      </c>
      <c r="AH7" s="40">
        <v>34</v>
      </c>
    </row>
    <row r="8" spans="1:35" s="25" customFormat="1" ht="31.5" customHeight="1" x14ac:dyDescent="0.25">
      <c r="A8" s="364"/>
      <c r="B8" s="367" t="s">
        <v>23</v>
      </c>
      <c r="C8" s="123" t="s">
        <v>20</v>
      </c>
      <c r="D8" s="70">
        <f>D9+D10+D12+D11</f>
        <v>5148692.0840000007</v>
      </c>
      <c r="E8" s="70">
        <f t="shared" ref="E8:G8" si="0">E9+E10+E12+E11</f>
        <v>1201081.172</v>
      </c>
      <c r="F8" s="70">
        <f t="shared" si="0"/>
        <v>1268562.6230000001</v>
      </c>
      <c r="G8" s="70">
        <f t="shared" si="0"/>
        <v>1268562.6230000001</v>
      </c>
      <c r="H8" s="70">
        <f>IFERROR(G8/D8*100,0)</f>
        <v>24.638541250935681</v>
      </c>
      <c r="I8" s="70">
        <f>IFERROR(G8/E8*100,0)</f>
        <v>105.61839220971487</v>
      </c>
      <c r="J8" s="71">
        <f>J9+J10+J12+J11</f>
        <v>337368.783</v>
      </c>
      <c r="K8" s="71">
        <f t="shared" ref="K8:AG8" si="1">K9+K10+K12+K11</f>
        <v>135134.304</v>
      </c>
      <c r="L8" s="71">
        <f t="shared" si="1"/>
        <v>464615.70200000005</v>
      </c>
      <c r="M8" s="71">
        <f t="shared" si="1"/>
        <v>174827.71</v>
      </c>
      <c r="N8" s="71">
        <f t="shared" si="1"/>
        <v>399096.68700000003</v>
      </c>
      <c r="O8" s="71">
        <f t="shared" si="1"/>
        <v>492812.7790000001</v>
      </c>
      <c r="P8" s="71">
        <f t="shared" si="1"/>
        <v>374592.19300000003</v>
      </c>
      <c r="Q8" s="71">
        <f t="shared" si="1"/>
        <v>465787.83000000007</v>
      </c>
      <c r="R8" s="71">
        <f t="shared" si="1"/>
        <v>501941.54399999999</v>
      </c>
      <c r="S8" s="71">
        <f t="shared" si="1"/>
        <v>0</v>
      </c>
      <c r="T8" s="71">
        <f t="shared" si="1"/>
        <v>353971.739</v>
      </c>
      <c r="U8" s="71">
        <f t="shared" si="1"/>
        <v>0</v>
      </c>
      <c r="V8" s="71">
        <f t="shared" si="1"/>
        <v>240298.61700000003</v>
      </c>
      <c r="W8" s="71">
        <f t="shared" si="1"/>
        <v>0</v>
      </c>
      <c r="X8" s="71">
        <f t="shared" si="1"/>
        <v>266370.505</v>
      </c>
      <c r="Y8" s="71">
        <f t="shared" si="1"/>
        <v>0</v>
      </c>
      <c r="Z8" s="71">
        <f t="shared" si="1"/>
        <v>279334.68400000001</v>
      </c>
      <c r="AA8" s="71">
        <f t="shared" si="1"/>
        <v>0</v>
      </c>
      <c r="AB8" s="71">
        <f t="shared" si="1"/>
        <v>353244.27399999998</v>
      </c>
      <c r="AC8" s="71">
        <f t="shared" si="1"/>
        <v>0</v>
      </c>
      <c r="AD8" s="71">
        <f t="shared" si="1"/>
        <v>356404.52600000007</v>
      </c>
      <c r="AE8" s="71">
        <f t="shared" si="1"/>
        <v>0</v>
      </c>
      <c r="AF8" s="71">
        <f t="shared" si="1"/>
        <v>1221452.8299999998</v>
      </c>
      <c r="AG8" s="71">
        <f t="shared" si="1"/>
        <v>0</v>
      </c>
      <c r="AH8" s="72"/>
    </row>
    <row r="9" spans="1:35" s="26" customFormat="1" ht="26.25" customHeight="1" x14ac:dyDescent="0.25">
      <c r="A9" s="365"/>
      <c r="B9" s="368"/>
      <c r="C9" s="124" t="s">
        <v>52</v>
      </c>
      <c r="D9" s="74">
        <f>J9+L9+N9+P9+R9+T9+V9+X9+Z9+AB9+AD9+AF9</f>
        <v>144798.87499999997</v>
      </c>
      <c r="E9" s="74">
        <f>J9+L9+N9</f>
        <v>37381.307999999997</v>
      </c>
      <c r="F9" s="74">
        <f>G9</f>
        <v>35291.69</v>
      </c>
      <c r="G9" s="74">
        <f>K9+M9+O9+Q9+S9+U9+W9+Y9+AA9+AC9+AE9+AG9</f>
        <v>35291.69</v>
      </c>
      <c r="H9" s="74">
        <f t="shared" ref="H9" si="2">IFERROR(G9/D9*100,0)</f>
        <v>24.372903449698768</v>
      </c>
      <c r="I9" s="74">
        <f t="shared" ref="I9" si="3">IFERROR(G9/E9*100,0)</f>
        <v>94.409992288124329</v>
      </c>
      <c r="J9" s="74">
        <f>J15+J20+J34</f>
        <v>9112.9679999999989</v>
      </c>
      <c r="K9" s="74">
        <f t="shared" ref="K9:AG9" si="4">K15+K20+K34</f>
        <v>0</v>
      </c>
      <c r="L9" s="74">
        <f t="shared" si="4"/>
        <v>12063.217999999999</v>
      </c>
      <c r="M9" s="74">
        <f t="shared" si="4"/>
        <v>2950.25</v>
      </c>
      <c r="N9" s="74">
        <f t="shared" si="4"/>
        <v>16205.121999999999</v>
      </c>
      <c r="O9" s="74">
        <f t="shared" si="4"/>
        <v>22355.949999999997</v>
      </c>
      <c r="P9" s="74">
        <f t="shared" si="4"/>
        <v>17827.411</v>
      </c>
      <c r="Q9" s="74">
        <f t="shared" si="4"/>
        <v>9985.4900000000016</v>
      </c>
      <c r="R9" s="74">
        <f t="shared" si="4"/>
        <v>12236.063999999998</v>
      </c>
      <c r="S9" s="74">
        <f t="shared" si="4"/>
        <v>0</v>
      </c>
      <c r="T9" s="74">
        <f t="shared" si="4"/>
        <v>12341.862999999999</v>
      </c>
      <c r="U9" s="74">
        <f t="shared" si="4"/>
        <v>0</v>
      </c>
      <c r="V9" s="74">
        <f t="shared" si="4"/>
        <v>9112.9679999999989</v>
      </c>
      <c r="W9" s="74">
        <f t="shared" si="4"/>
        <v>0</v>
      </c>
      <c r="X9" s="74">
        <f t="shared" si="4"/>
        <v>9112.9679999999989</v>
      </c>
      <c r="Y9" s="74">
        <f t="shared" si="4"/>
        <v>0</v>
      </c>
      <c r="Z9" s="74">
        <f t="shared" si="4"/>
        <v>10871.407999999999</v>
      </c>
      <c r="AA9" s="74">
        <f t="shared" si="4"/>
        <v>0</v>
      </c>
      <c r="AB9" s="74">
        <f t="shared" si="4"/>
        <v>12168.909</v>
      </c>
      <c r="AC9" s="74">
        <f t="shared" si="4"/>
        <v>0</v>
      </c>
      <c r="AD9" s="74">
        <f t="shared" si="4"/>
        <v>11944.182999999999</v>
      </c>
      <c r="AE9" s="74">
        <f t="shared" si="4"/>
        <v>0</v>
      </c>
      <c r="AF9" s="74">
        <f t="shared" si="4"/>
        <v>11801.793</v>
      </c>
      <c r="AG9" s="74">
        <f t="shared" si="4"/>
        <v>0</v>
      </c>
      <c r="AH9" s="75"/>
    </row>
    <row r="10" spans="1:35" s="26" customFormat="1" ht="40.5" customHeight="1" x14ac:dyDescent="0.25">
      <c r="A10" s="365"/>
      <c r="B10" s="368"/>
      <c r="C10" s="124" t="s">
        <v>22</v>
      </c>
      <c r="D10" s="74">
        <f t="shared" ref="D10:D12" si="5">J10+L10+N10+P10+R10+T10+V10+X10+Z10+AB10+AD10+AF10</f>
        <v>3952045.2170000002</v>
      </c>
      <c r="E10" s="74">
        <f t="shared" ref="E10:E12" si="6">J10+L10+N10</f>
        <v>857529.61400000006</v>
      </c>
      <c r="F10" s="74">
        <f t="shared" ref="F10:F12" si="7">G10</f>
        <v>881693.82000000007</v>
      </c>
      <c r="G10" s="74">
        <f t="shared" ref="G10:G12" si="8">K10+M10+O10+Q10+S10+U10+W10+Y10+AA10+AC10+AE10+AG10</f>
        <v>881693.82000000007</v>
      </c>
      <c r="H10" s="74">
        <f>IFERROR(G10/D10*100,0)</f>
        <v>22.309811036759704</v>
      </c>
      <c r="I10" s="74">
        <f>IFERROR(G10/E10*100,0)</f>
        <v>102.81788589052738</v>
      </c>
      <c r="J10" s="74">
        <f>J16+J21+J35+J72</f>
        <v>206861.334</v>
      </c>
      <c r="K10" s="74">
        <f t="shared" ref="K10:AG10" si="9">K16+K21+K35+K72</f>
        <v>44588.906000000003</v>
      </c>
      <c r="L10" s="74">
        <f t="shared" si="9"/>
        <v>356228.228</v>
      </c>
      <c r="M10" s="74">
        <f t="shared" si="9"/>
        <v>81428.194999999992</v>
      </c>
      <c r="N10" s="74">
        <f t="shared" si="9"/>
        <v>294440.05200000008</v>
      </c>
      <c r="O10" s="74">
        <f t="shared" si="9"/>
        <v>381567.02900000004</v>
      </c>
      <c r="P10" s="74">
        <f t="shared" si="9"/>
        <v>275572.11200000002</v>
      </c>
      <c r="Q10" s="74">
        <f t="shared" si="9"/>
        <v>374109.69000000006</v>
      </c>
      <c r="R10" s="74">
        <f t="shared" si="9"/>
        <v>407146.65199999994</v>
      </c>
      <c r="S10" s="74">
        <f t="shared" si="9"/>
        <v>0</v>
      </c>
      <c r="T10" s="74">
        <f t="shared" si="9"/>
        <v>272900.228</v>
      </c>
      <c r="U10" s="74">
        <f t="shared" si="9"/>
        <v>0</v>
      </c>
      <c r="V10" s="74">
        <f t="shared" si="9"/>
        <v>179139.40700000001</v>
      </c>
      <c r="W10" s="74">
        <f t="shared" si="9"/>
        <v>0</v>
      </c>
      <c r="X10" s="74">
        <f t="shared" si="9"/>
        <v>155562.704</v>
      </c>
      <c r="Y10" s="74">
        <f t="shared" si="9"/>
        <v>0</v>
      </c>
      <c r="Z10" s="74">
        <f t="shared" si="9"/>
        <v>216153.39199999999</v>
      </c>
      <c r="AA10" s="74">
        <f t="shared" si="9"/>
        <v>0</v>
      </c>
      <c r="AB10" s="74">
        <f t="shared" si="9"/>
        <v>269113.55</v>
      </c>
      <c r="AC10" s="74">
        <f t="shared" si="9"/>
        <v>0</v>
      </c>
      <c r="AD10" s="74">
        <f t="shared" si="9"/>
        <v>280880.37100000004</v>
      </c>
      <c r="AE10" s="74">
        <f t="shared" si="9"/>
        <v>0</v>
      </c>
      <c r="AF10" s="74">
        <f t="shared" si="9"/>
        <v>1038047.187</v>
      </c>
      <c r="AG10" s="74">
        <f t="shared" si="9"/>
        <v>0</v>
      </c>
      <c r="AH10" s="75"/>
    </row>
    <row r="11" spans="1:35" s="26" customFormat="1" ht="40.5" customHeight="1" x14ac:dyDescent="0.25">
      <c r="A11" s="365"/>
      <c r="B11" s="368"/>
      <c r="C11" s="124" t="s">
        <v>21</v>
      </c>
      <c r="D11" s="74">
        <f t="shared" si="5"/>
        <v>934853.09400000004</v>
      </c>
      <c r="E11" s="74">
        <f t="shared" si="6"/>
        <v>250017.47900000002</v>
      </c>
      <c r="F11" s="74">
        <f t="shared" si="7"/>
        <v>312800.94500000007</v>
      </c>
      <c r="G11" s="74">
        <f t="shared" si="8"/>
        <v>312800.94500000007</v>
      </c>
      <c r="H11" s="74">
        <f>IFERROR(G11/D11*100,0)</f>
        <v>33.459903701190512</v>
      </c>
      <c r="I11" s="74">
        <f>IFERROR(G11/E11*100,0)</f>
        <v>125.11163069522833</v>
      </c>
      <c r="J11" s="74">
        <f t="shared" ref="J11:AG11" si="10">J18+J22+J36+J73+J80+J93+J100</f>
        <v>90032.301000000007</v>
      </c>
      <c r="K11" s="74">
        <f t="shared" si="10"/>
        <v>84826.47600000001</v>
      </c>
      <c r="L11" s="74">
        <f t="shared" si="10"/>
        <v>82432.926000000007</v>
      </c>
      <c r="M11" s="74">
        <f t="shared" si="10"/>
        <v>79233.978999999992</v>
      </c>
      <c r="N11" s="74">
        <f t="shared" si="10"/>
        <v>77552.252000000008</v>
      </c>
      <c r="O11" s="74">
        <f t="shared" si="10"/>
        <v>77614.900000000009</v>
      </c>
      <c r="P11" s="74">
        <f t="shared" si="10"/>
        <v>71488.202000000005</v>
      </c>
      <c r="Q11" s="74">
        <f t="shared" si="10"/>
        <v>71125.59</v>
      </c>
      <c r="R11" s="74">
        <f t="shared" si="10"/>
        <v>73827.475000000006</v>
      </c>
      <c r="S11" s="74">
        <f t="shared" si="10"/>
        <v>0</v>
      </c>
      <c r="T11" s="74">
        <f t="shared" si="10"/>
        <v>62222.979999999996</v>
      </c>
      <c r="U11" s="74">
        <f t="shared" si="10"/>
        <v>0</v>
      </c>
      <c r="V11" s="74">
        <f t="shared" si="10"/>
        <v>45880.770000000004</v>
      </c>
      <c r="W11" s="74">
        <f t="shared" si="10"/>
        <v>0</v>
      </c>
      <c r="X11" s="74">
        <f t="shared" si="10"/>
        <v>95722.517999999996</v>
      </c>
      <c r="Y11" s="74">
        <f t="shared" si="10"/>
        <v>0</v>
      </c>
      <c r="Z11" s="74">
        <f t="shared" si="10"/>
        <v>46329.953000000001</v>
      </c>
      <c r="AA11" s="74">
        <f t="shared" si="10"/>
        <v>0</v>
      </c>
      <c r="AB11" s="74">
        <f t="shared" si="10"/>
        <v>65077.194999999992</v>
      </c>
      <c r="AC11" s="74">
        <f t="shared" si="10"/>
        <v>0</v>
      </c>
      <c r="AD11" s="74">
        <f t="shared" si="10"/>
        <v>57590.290999999997</v>
      </c>
      <c r="AE11" s="74">
        <f t="shared" si="10"/>
        <v>0</v>
      </c>
      <c r="AF11" s="74">
        <f t="shared" si="10"/>
        <v>166696.23099999997</v>
      </c>
      <c r="AG11" s="74">
        <f t="shared" si="10"/>
        <v>0</v>
      </c>
      <c r="AH11" s="75"/>
    </row>
    <row r="12" spans="1:35" s="26" customFormat="1" ht="34.5" customHeight="1" x14ac:dyDescent="0.25">
      <c r="A12" s="366"/>
      <c r="B12" s="369"/>
      <c r="C12" s="124" t="s">
        <v>114</v>
      </c>
      <c r="D12" s="74">
        <f t="shared" si="5"/>
        <v>116994.898</v>
      </c>
      <c r="E12" s="74">
        <f t="shared" si="6"/>
        <v>56152.771000000001</v>
      </c>
      <c r="F12" s="74">
        <f t="shared" si="7"/>
        <v>38776.167999999998</v>
      </c>
      <c r="G12" s="74">
        <f t="shared" si="8"/>
        <v>38776.167999999998</v>
      </c>
      <c r="H12" s="74">
        <f>IFERROR(G12/D12*100,0)</f>
        <v>33.14346921350365</v>
      </c>
      <c r="I12" s="74">
        <f>IFERROR(G12/E12*100,0)</f>
        <v>69.054772025409036</v>
      </c>
      <c r="J12" s="74">
        <f>J37</f>
        <v>31362.18</v>
      </c>
      <c r="K12" s="74">
        <f t="shared" ref="K12:AG12" si="11">K37</f>
        <v>5718.9219999999996</v>
      </c>
      <c r="L12" s="74">
        <f t="shared" si="11"/>
        <v>13891.33</v>
      </c>
      <c r="M12" s="74">
        <f t="shared" si="11"/>
        <v>11215.286</v>
      </c>
      <c r="N12" s="74">
        <f t="shared" si="11"/>
        <v>10899.261</v>
      </c>
      <c r="O12" s="74">
        <f t="shared" si="11"/>
        <v>11274.9</v>
      </c>
      <c r="P12" s="74">
        <f t="shared" si="11"/>
        <v>9704.4680000000008</v>
      </c>
      <c r="Q12" s="74">
        <f t="shared" si="11"/>
        <v>10567.06</v>
      </c>
      <c r="R12" s="74">
        <f t="shared" si="11"/>
        <v>8731.3529999999992</v>
      </c>
      <c r="S12" s="74">
        <f t="shared" si="11"/>
        <v>0</v>
      </c>
      <c r="T12" s="74">
        <f t="shared" si="11"/>
        <v>6506.6679999999997</v>
      </c>
      <c r="U12" s="74">
        <f t="shared" si="11"/>
        <v>0</v>
      </c>
      <c r="V12" s="74">
        <f t="shared" si="11"/>
        <v>6165.4719999999998</v>
      </c>
      <c r="W12" s="74">
        <f t="shared" si="11"/>
        <v>0</v>
      </c>
      <c r="X12" s="74">
        <f t="shared" si="11"/>
        <v>5972.3149999999996</v>
      </c>
      <c r="Y12" s="74">
        <f t="shared" si="11"/>
        <v>0</v>
      </c>
      <c r="Z12" s="74">
        <f t="shared" si="11"/>
        <v>5979.9309999999996</v>
      </c>
      <c r="AA12" s="74">
        <f t="shared" si="11"/>
        <v>0</v>
      </c>
      <c r="AB12" s="74">
        <f t="shared" si="11"/>
        <v>6884.62</v>
      </c>
      <c r="AC12" s="74">
        <f t="shared" si="11"/>
        <v>0</v>
      </c>
      <c r="AD12" s="74">
        <f t="shared" si="11"/>
        <v>5989.6809999999996</v>
      </c>
      <c r="AE12" s="74">
        <f t="shared" si="11"/>
        <v>0</v>
      </c>
      <c r="AF12" s="74">
        <f t="shared" si="11"/>
        <v>4907.6190000000024</v>
      </c>
      <c r="AG12" s="74">
        <f t="shared" si="11"/>
        <v>0</v>
      </c>
      <c r="AH12" s="75"/>
    </row>
    <row r="13" spans="1:35" s="22" customFormat="1" ht="18.75" customHeight="1" x14ac:dyDescent="0.25">
      <c r="A13" s="66"/>
      <c r="B13" s="370" t="s">
        <v>240</v>
      </c>
      <c r="C13" s="371"/>
      <c r="D13" s="371"/>
      <c r="E13" s="371"/>
      <c r="F13" s="371"/>
      <c r="G13" s="371"/>
      <c r="H13" s="371"/>
      <c r="I13" s="371"/>
      <c r="J13" s="371"/>
      <c r="K13" s="371"/>
      <c r="L13" s="371"/>
      <c r="M13" s="371"/>
      <c r="N13" s="371"/>
      <c r="O13" s="371"/>
      <c r="P13" s="371"/>
      <c r="Q13" s="371"/>
      <c r="R13" s="371"/>
      <c r="S13" s="371"/>
      <c r="T13" s="371"/>
      <c r="U13" s="371"/>
      <c r="V13" s="371"/>
      <c r="W13" s="371"/>
      <c r="X13" s="371"/>
      <c r="Y13" s="371"/>
      <c r="Z13" s="371"/>
      <c r="AA13" s="371"/>
      <c r="AB13" s="371"/>
      <c r="AC13" s="371"/>
      <c r="AD13" s="371"/>
      <c r="AE13" s="371"/>
      <c r="AF13" s="371"/>
      <c r="AG13" s="372"/>
      <c r="AH13" s="64"/>
    </row>
    <row r="14" spans="1:35" s="21" customFormat="1" ht="23.25" customHeight="1" x14ac:dyDescent="0.25">
      <c r="A14" s="373" t="s">
        <v>50</v>
      </c>
      <c r="B14" s="376" t="s">
        <v>241</v>
      </c>
      <c r="C14" s="125" t="s">
        <v>20</v>
      </c>
      <c r="D14" s="70">
        <f>D16+D18+D15+D17</f>
        <v>1790429.412</v>
      </c>
      <c r="E14" s="70">
        <f>E16+E18+E15+E17</f>
        <v>43274.12</v>
      </c>
      <c r="F14" s="70">
        <f>F16+F18+F15+F17</f>
        <v>32088.15</v>
      </c>
      <c r="G14" s="70">
        <f>G16+G18+G15+G17</f>
        <v>32088.15</v>
      </c>
      <c r="H14" s="70">
        <f>H16+H18+H15+H17</f>
        <v>4.1912807958149241</v>
      </c>
      <c r="I14" s="62">
        <f>IFERROR(G14/E14*100,0)</f>
        <v>74.150901277715178</v>
      </c>
      <c r="J14" s="70">
        <f t="shared" ref="J14" si="12">J16+J18+J15+J17</f>
        <v>0</v>
      </c>
      <c r="K14" s="70">
        <f t="shared" ref="K14" si="13">K16+K18+K15+K17</f>
        <v>0</v>
      </c>
      <c r="L14" s="70">
        <f t="shared" ref="L14" si="14">L16+L18+L15+L17</f>
        <v>0</v>
      </c>
      <c r="M14" s="70">
        <f t="shared" ref="M14" si="15">M16+M18+M15+M17</f>
        <v>0</v>
      </c>
      <c r="N14" s="70">
        <f t="shared" ref="N14" si="16">N16+N18+N15+N17</f>
        <v>18379.603999999999</v>
      </c>
      <c r="O14" s="70">
        <f t="shared" ref="O14" si="17">O16+O18+O15+O17</f>
        <v>13869.64</v>
      </c>
      <c r="P14" s="70">
        <f t="shared" ref="P14" si="18">P16+P18+P15+P17</f>
        <v>24894.516</v>
      </c>
      <c r="Q14" s="70">
        <f t="shared" ref="Q14" si="19">Q16+Q18+Q15+Q17</f>
        <v>18218.509999999998</v>
      </c>
      <c r="R14" s="70">
        <f t="shared" ref="R14" si="20">R16+R18+R15+R17</f>
        <v>17466.137999999999</v>
      </c>
      <c r="S14" s="70">
        <f t="shared" ref="S14" si="21">S16+S18+S15+S17</f>
        <v>0</v>
      </c>
      <c r="T14" s="70">
        <f t="shared" ref="T14" si="22">T16+T18+T15+T17</f>
        <v>45555.199999999997</v>
      </c>
      <c r="U14" s="70">
        <f t="shared" ref="U14" si="23">U16+U18+U15+U17</f>
        <v>0</v>
      </c>
      <c r="V14" s="70">
        <f t="shared" ref="V14" si="24">V16+V18+V15+V17</f>
        <v>53147.743000000002</v>
      </c>
      <c r="W14" s="70">
        <f t="shared" ref="W14" si="25">W16+W18+W15+W17</f>
        <v>0</v>
      </c>
      <c r="X14" s="70">
        <f t="shared" ref="X14" si="26">X16+X18+X15+X17</f>
        <v>63777.280000000006</v>
      </c>
      <c r="Y14" s="70">
        <f t="shared" ref="Y14" si="27">Y16+Y18+Y15+Y17</f>
        <v>0</v>
      </c>
      <c r="Z14" s="70">
        <f t="shared" ref="Z14" si="28">Z16+Z18+Z15+Z17</f>
        <v>80480.854000000007</v>
      </c>
      <c r="AA14" s="70">
        <f t="shared" ref="AA14" si="29">AA16+AA18+AA15+AA17</f>
        <v>0</v>
      </c>
      <c r="AB14" s="70">
        <f t="shared" ref="AB14" si="30">AB16+AB18+AB15+AB17</f>
        <v>136665.60200000001</v>
      </c>
      <c r="AC14" s="70">
        <f t="shared" ref="AC14" si="31">AC16+AC18+AC15+AC17</f>
        <v>0</v>
      </c>
      <c r="AD14" s="70">
        <f t="shared" ref="AD14" si="32">AD16+AD18+AD15+AD17</f>
        <v>167035.73500000002</v>
      </c>
      <c r="AE14" s="70">
        <f t="shared" ref="AE14" si="33">AE16+AE18+AE15+AE17</f>
        <v>0</v>
      </c>
      <c r="AF14" s="70">
        <f t="shared" ref="AF14" si="34">AF16+AF18+AF15+AF17</f>
        <v>1183026.74</v>
      </c>
      <c r="AG14" s="70">
        <f t="shared" ref="AG14" si="35">AG16+AG18+AG15+AG17</f>
        <v>0</v>
      </c>
      <c r="AH14" s="60" t="s">
        <v>345</v>
      </c>
      <c r="AI14" s="23"/>
    </row>
    <row r="15" spans="1:35" s="21" customFormat="1" ht="17.25" customHeight="1" x14ac:dyDescent="0.25">
      <c r="A15" s="374"/>
      <c r="B15" s="377"/>
      <c r="C15" s="126" t="s">
        <v>52</v>
      </c>
      <c r="D15" s="74">
        <f>SUM(J15,L15,N15,P15,R15,T15,V15,X15,Z15,AB15,AD15,AF15)</f>
        <v>11083.798000000001</v>
      </c>
      <c r="E15" s="62">
        <f>J15+L15+N15+P15</f>
        <v>10523.25</v>
      </c>
      <c r="F15" s="62">
        <f>G15</f>
        <v>0</v>
      </c>
      <c r="G15" s="62">
        <f>SUM(K15,M15,O15,Q15,S15,U15,W15,Y15,AA15,AC15,AE15,AG15)</f>
        <v>0</v>
      </c>
      <c r="H15" s="62">
        <f t="shared" ref="H15:H19" si="36">IFERROR(G15/D15*100,0)</f>
        <v>0</v>
      </c>
      <c r="I15" s="62">
        <f t="shared" ref="I15:I19" si="37">IFERROR(G15/E15*100,0)</f>
        <v>0</v>
      </c>
      <c r="J15" s="62">
        <v>0</v>
      </c>
      <c r="K15" s="62">
        <v>0</v>
      </c>
      <c r="L15" s="62">
        <v>0</v>
      </c>
      <c r="M15" s="62">
        <v>0</v>
      </c>
      <c r="N15" s="62">
        <v>4509.9639999999999</v>
      </c>
      <c r="O15" s="62">
        <v>0</v>
      </c>
      <c r="P15" s="62">
        <v>6013.2860000000001</v>
      </c>
      <c r="Q15" s="62">
        <v>0</v>
      </c>
      <c r="R15" s="62">
        <v>560.548</v>
      </c>
      <c r="S15" s="62">
        <v>0</v>
      </c>
      <c r="T15" s="62">
        <v>0</v>
      </c>
      <c r="U15" s="62">
        <v>0</v>
      </c>
      <c r="V15" s="62">
        <v>0</v>
      </c>
      <c r="W15" s="62">
        <v>0</v>
      </c>
      <c r="X15" s="62">
        <v>0</v>
      </c>
      <c r="Y15" s="62">
        <v>0</v>
      </c>
      <c r="Z15" s="62">
        <v>0</v>
      </c>
      <c r="AA15" s="62">
        <v>0</v>
      </c>
      <c r="AB15" s="62">
        <v>0</v>
      </c>
      <c r="AC15" s="62">
        <v>0</v>
      </c>
      <c r="AD15" s="62">
        <v>0</v>
      </c>
      <c r="AE15" s="62">
        <v>0</v>
      </c>
      <c r="AF15" s="62">
        <v>0</v>
      </c>
      <c r="AG15" s="62">
        <v>0</v>
      </c>
      <c r="AH15" s="60"/>
      <c r="AI15" s="23"/>
    </row>
    <row r="16" spans="1:35" s="21" customFormat="1" ht="37.5" customHeight="1" x14ac:dyDescent="0.25">
      <c r="A16" s="374"/>
      <c r="B16" s="377"/>
      <c r="C16" s="126" t="s">
        <v>22</v>
      </c>
      <c r="D16" s="74">
        <f>SUM(J16,L16,N16,P16,R16,T16,V16,X16,Z16,AB16,AD16,AF16)</f>
        <v>1293765.625</v>
      </c>
      <c r="E16" s="62">
        <f t="shared" ref="E16:E18" si="38">J16+L16+N16+P16</f>
        <v>29475.79</v>
      </c>
      <c r="F16" s="62">
        <f>G16</f>
        <v>28879.34</v>
      </c>
      <c r="G16" s="62">
        <f>SUM(K16,M16,O16,Q16,S16,U16,W16,Y16,AA16,AC16,AE16,AG16)</f>
        <v>28879.34</v>
      </c>
      <c r="H16" s="62">
        <f t="shared" si="36"/>
        <v>2.232192558060893</v>
      </c>
      <c r="I16" s="62">
        <f>IFERROR(G16/E16*100,0)</f>
        <v>97.976474930782175</v>
      </c>
      <c r="J16" s="63">
        <v>0</v>
      </c>
      <c r="K16" s="63">
        <v>0</v>
      </c>
      <c r="L16" s="63">
        <v>0</v>
      </c>
      <c r="M16" s="63">
        <v>0</v>
      </c>
      <c r="N16" s="63">
        <v>12482.68</v>
      </c>
      <c r="O16" s="63">
        <v>12482.68</v>
      </c>
      <c r="P16" s="63">
        <v>16993.11</v>
      </c>
      <c r="Q16" s="63">
        <v>16396.66</v>
      </c>
      <c r="R16" s="63">
        <v>14106.65</v>
      </c>
      <c r="S16" s="63">
        <v>0</v>
      </c>
      <c r="T16" s="63">
        <v>40999.68</v>
      </c>
      <c r="U16" s="63">
        <v>0</v>
      </c>
      <c r="V16" s="63">
        <v>47832.97</v>
      </c>
      <c r="W16" s="63">
        <v>0</v>
      </c>
      <c r="X16" s="63">
        <v>57399.552000000003</v>
      </c>
      <c r="Y16" s="63">
        <v>0</v>
      </c>
      <c r="Z16" s="63">
        <v>72432.769</v>
      </c>
      <c r="AA16" s="63">
        <v>0</v>
      </c>
      <c r="AB16" s="63">
        <v>122999.042</v>
      </c>
      <c r="AC16" s="63">
        <v>0</v>
      </c>
      <c r="AD16" s="63">
        <v>150332.16200000001</v>
      </c>
      <c r="AE16" s="63">
        <v>0</v>
      </c>
      <c r="AF16" s="63">
        <v>758187.01</v>
      </c>
      <c r="AG16" s="63">
        <v>0</v>
      </c>
      <c r="AH16" s="60"/>
      <c r="AI16" s="23"/>
    </row>
    <row r="17" spans="1:35" s="21" customFormat="1" ht="57" customHeight="1" x14ac:dyDescent="0.25">
      <c r="A17" s="374"/>
      <c r="B17" s="377"/>
      <c r="C17" s="126" t="s">
        <v>279</v>
      </c>
      <c r="D17" s="74">
        <f>SUM(J17,L17,N17,P17,R17,T17,V17,X17,Z17,AB17,AD17,AF17)</f>
        <v>321789</v>
      </c>
      <c r="E17" s="62">
        <f t="shared" si="38"/>
        <v>0</v>
      </c>
      <c r="F17" s="62">
        <f>G17</f>
        <v>0</v>
      </c>
      <c r="G17" s="62">
        <f>SUM(K17,M17,O17,Q17,S17,U17,W17,Y17,AA17,AC17,AE17,AG17)</f>
        <v>0</v>
      </c>
      <c r="H17" s="62">
        <f t="shared" ref="H17" si="39">IFERROR(G17/D17*100,0)</f>
        <v>0</v>
      </c>
      <c r="I17" s="62">
        <f t="shared" ref="I17" si="40">IFERROR(G17/E17*100,0)</f>
        <v>0</v>
      </c>
      <c r="J17" s="63"/>
      <c r="K17" s="63"/>
      <c r="L17" s="63"/>
      <c r="M17" s="63"/>
      <c r="N17" s="63"/>
      <c r="O17" s="63"/>
      <c r="P17" s="63"/>
      <c r="Q17" s="63"/>
      <c r="R17" s="63"/>
      <c r="S17" s="63"/>
      <c r="T17" s="63"/>
      <c r="U17" s="63"/>
      <c r="V17" s="63"/>
      <c r="W17" s="63"/>
      <c r="X17" s="63"/>
      <c r="Y17" s="63"/>
      <c r="Z17" s="63"/>
      <c r="AA17" s="63"/>
      <c r="AB17" s="63"/>
      <c r="AC17" s="63"/>
      <c r="AD17" s="63"/>
      <c r="AE17" s="63"/>
      <c r="AF17" s="63">
        <v>321789</v>
      </c>
      <c r="AG17" s="63"/>
      <c r="AH17" s="60"/>
      <c r="AI17" s="23"/>
    </row>
    <row r="18" spans="1:35" s="22" customFormat="1" ht="114" customHeight="1" x14ac:dyDescent="0.25">
      <c r="A18" s="375"/>
      <c r="B18" s="378"/>
      <c r="C18" s="126" t="s">
        <v>21</v>
      </c>
      <c r="D18" s="74">
        <f>SUM(J18,L18,N18,P18,R18,T18,V18,X18,Z18,AB18,AD18,AF18)</f>
        <v>163790.989</v>
      </c>
      <c r="E18" s="62">
        <f t="shared" si="38"/>
        <v>3275.08</v>
      </c>
      <c r="F18" s="62">
        <f>G18</f>
        <v>3208.81</v>
      </c>
      <c r="G18" s="62">
        <f>SUM(K18,M18,O18,Q18,S18,U18,W18,Y18,AA18,AC18,AE18,AG18)</f>
        <v>3208.81</v>
      </c>
      <c r="H18" s="62">
        <f t="shared" si="36"/>
        <v>1.9590882377540315</v>
      </c>
      <c r="I18" s="62">
        <f>IFERROR(G18/E18*100,0)</f>
        <v>97.976537977698257</v>
      </c>
      <c r="J18" s="67">
        <v>0</v>
      </c>
      <c r="K18" s="67">
        <v>0</v>
      </c>
      <c r="L18" s="67">
        <v>0</v>
      </c>
      <c r="M18" s="67">
        <v>0</v>
      </c>
      <c r="N18" s="67">
        <v>1386.96</v>
      </c>
      <c r="O18" s="67">
        <v>1386.96</v>
      </c>
      <c r="P18" s="67">
        <v>1888.12</v>
      </c>
      <c r="Q18" s="67">
        <v>1821.85</v>
      </c>
      <c r="R18" s="67">
        <v>2798.94</v>
      </c>
      <c r="S18" s="67">
        <v>0</v>
      </c>
      <c r="T18" s="67">
        <v>4555.5200000000004</v>
      </c>
      <c r="U18" s="67">
        <v>0</v>
      </c>
      <c r="V18" s="67">
        <v>5314.7730000000001</v>
      </c>
      <c r="W18" s="67">
        <v>0</v>
      </c>
      <c r="X18" s="67">
        <v>6377.7280000000001</v>
      </c>
      <c r="Y18" s="67">
        <v>0</v>
      </c>
      <c r="Z18" s="67">
        <v>8048.085</v>
      </c>
      <c r="AA18" s="67">
        <v>0</v>
      </c>
      <c r="AB18" s="67">
        <v>13666.56</v>
      </c>
      <c r="AC18" s="67">
        <v>0</v>
      </c>
      <c r="AD18" s="67">
        <v>16703.573</v>
      </c>
      <c r="AE18" s="67">
        <v>0</v>
      </c>
      <c r="AF18" s="67">
        <v>103050.73</v>
      </c>
      <c r="AG18" s="67">
        <v>0</v>
      </c>
      <c r="AH18" s="64"/>
      <c r="AI18" s="20"/>
    </row>
    <row r="19" spans="1:35" s="22" customFormat="1" ht="27.75" customHeight="1" x14ac:dyDescent="0.25">
      <c r="A19" s="379" t="s">
        <v>77</v>
      </c>
      <c r="B19" s="376" t="s">
        <v>242</v>
      </c>
      <c r="C19" s="125" t="s">
        <v>20</v>
      </c>
      <c r="D19" s="70">
        <f>D22+D21+D20</f>
        <v>110081.57999999997</v>
      </c>
      <c r="E19" s="70">
        <f t="shared" ref="E19:G19" si="41">E22+E21+E20</f>
        <v>27520.319999999996</v>
      </c>
      <c r="F19" s="70">
        <f t="shared" si="41"/>
        <v>27721.98</v>
      </c>
      <c r="G19" s="70">
        <f t="shared" si="41"/>
        <v>27721.98</v>
      </c>
      <c r="H19" s="58">
        <f t="shared" si="36"/>
        <v>25.183123280025598</v>
      </c>
      <c r="I19" s="58">
        <f t="shared" si="37"/>
        <v>100.73276764223674</v>
      </c>
      <c r="J19" s="59">
        <f>J22+J21+J20</f>
        <v>9173.4399999999987</v>
      </c>
      <c r="K19" s="59">
        <f t="shared" ref="K19:AG19" si="42">K22+K21+K20</f>
        <v>0</v>
      </c>
      <c r="L19" s="59">
        <f t="shared" si="42"/>
        <v>9173.4399999999987</v>
      </c>
      <c r="M19" s="59">
        <f t="shared" si="42"/>
        <v>0</v>
      </c>
      <c r="N19" s="59">
        <f t="shared" si="42"/>
        <v>9173.4399999999987</v>
      </c>
      <c r="O19" s="59">
        <f t="shared" si="42"/>
        <v>19913.809999999998</v>
      </c>
      <c r="P19" s="59">
        <f t="shared" si="42"/>
        <v>9173.4399999999987</v>
      </c>
      <c r="Q19" s="59">
        <f t="shared" si="42"/>
        <v>7808.170000000001</v>
      </c>
      <c r="R19" s="59">
        <f t="shared" si="42"/>
        <v>9173.5199999999986</v>
      </c>
      <c r="S19" s="59">
        <f t="shared" si="42"/>
        <v>0</v>
      </c>
      <c r="T19" s="59">
        <f t="shared" si="42"/>
        <v>9173.4399999999987</v>
      </c>
      <c r="U19" s="59">
        <f t="shared" si="42"/>
        <v>0</v>
      </c>
      <c r="V19" s="59">
        <f t="shared" si="42"/>
        <v>9173.4399999999987</v>
      </c>
      <c r="W19" s="59">
        <f t="shared" si="42"/>
        <v>0</v>
      </c>
      <c r="X19" s="59">
        <f t="shared" si="42"/>
        <v>9173.4399999999987</v>
      </c>
      <c r="Y19" s="59">
        <f t="shared" si="42"/>
        <v>0</v>
      </c>
      <c r="Z19" s="59">
        <f t="shared" si="42"/>
        <v>9173.4399999999987</v>
      </c>
      <c r="AA19" s="59">
        <f t="shared" si="42"/>
        <v>0</v>
      </c>
      <c r="AB19" s="59">
        <f t="shared" si="42"/>
        <v>9173.4399999999987</v>
      </c>
      <c r="AC19" s="59">
        <f t="shared" si="42"/>
        <v>0</v>
      </c>
      <c r="AD19" s="59">
        <f t="shared" si="42"/>
        <v>9173.4399999999987</v>
      </c>
      <c r="AE19" s="59">
        <f t="shared" si="42"/>
        <v>0</v>
      </c>
      <c r="AF19" s="59">
        <f t="shared" si="42"/>
        <v>9173.66</v>
      </c>
      <c r="AG19" s="59">
        <f t="shared" si="42"/>
        <v>0</v>
      </c>
      <c r="AH19" s="60"/>
      <c r="AI19" s="20"/>
    </row>
    <row r="20" spans="1:35" s="22" customFormat="1" ht="27.75" customHeight="1" x14ac:dyDescent="0.25">
      <c r="A20" s="380"/>
      <c r="B20" s="377"/>
      <c r="C20" s="126" t="s">
        <v>52</v>
      </c>
      <c r="D20" s="74">
        <f>SUM(J20,L20,N20,P20,R20,T20,V20,X20,Z20,AB20,AD20,AF20)</f>
        <v>109355.77999999997</v>
      </c>
      <c r="E20" s="74">
        <f>J20+L20+N20</f>
        <v>27338.903999999995</v>
      </c>
      <c r="F20" s="74">
        <f>G20</f>
        <v>27569.79</v>
      </c>
      <c r="G20" s="74">
        <f>SUM(K20,M20,O20,Q20,S20,U20,W20,Y20,AA20,AC20,AE20,AG20)</f>
        <v>27569.79</v>
      </c>
      <c r="H20" s="74">
        <f>IFERROR(G20/D20*100,0)</f>
        <v>25.211095380600835</v>
      </c>
      <c r="I20" s="74">
        <f>IFERROR(G20/E20*100,0)</f>
        <v>100.84453275815302</v>
      </c>
      <c r="J20" s="63">
        <f>J24+J29+J31</f>
        <v>9112.9679999999989</v>
      </c>
      <c r="K20" s="63">
        <f t="shared" ref="K20:AG20" si="43">K24+K29+K31</f>
        <v>0</v>
      </c>
      <c r="L20" s="63">
        <f t="shared" si="43"/>
        <v>9112.9679999999989</v>
      </c>
      <c r="M20" s="63">
        <f t="shared" si="43"/>
        <v>0</v>
      </c>
      <c r="N20" s="63">
        <f t="shared" si="43"/>
        <v>9112.9679999999989</v>
      </c>
      <c r="O20" s="63">
        <f t="shared" si="43"/>
        <v>19773.759999999998</v>
      </c>
      <c r="P20" s="63">
        <f t="shared" si="43"/>
        <v>9112.9679999999989</v>
      </c>
      <c r="Q20" s="63">
        <f t="shared" si="43"/>
        <v>7796.0300000000007</v>
      </c>
      <c r="R20" s="63">
        <f t="shared" si="43"/>
        <v>9113.0479999999989</v>
      </c>
      <c r="S20" s="63">
        <f t="shared" si="43"/>
        <v>0</v>
      </c>
      <c r="T20" s="63">
        <f t="shared" si="43"/>
        <v>9112.9679999999989</v>
      </c>
      <c r="U20" s="63">
        <f t="shared" si="43"/>
        <v>0</v>
      </c>
      <c r="V20" s="63">
        <f t="shared" si="43"/>
        <v>9112.9679999999989</v>
      </c>
      <c r="W20" s="63">
        <f t="shared" si="43"/>
        <v>0</v>
      </c>
      <c r="X20" s="63">
        <f t="shared" si="43"/>
        <v>9112.9679999999989</v>
      </c>
      <c r="Y20" s="63">
        <f t="shared" si="43"/>
        <v>0</v>
      </c>
      <c r="Z20" s="63">
        <f t="shared" si="43"/>
        <v>9112.9679999999989</v>
      </c>
      <c r="AA20" s="63">
        <f t="shared" si="43"/>
        <v>0</v>
      </c>
      <c r="AB20" s="63">
        <f t="shared" si="43"/>
        <v>9112.9679999999989</v>
      </c>
      <c r="AC20" s="63">
        <f t="shared" si="43"/>
        <v>0</v>
      </c>
      <c r="AD20" s="63">
        <f t="shared" si="43"/>
        <v>9112.9679999999989</v>
      </c>
      <c r="AE20" s="63">
        <f t="shared" si="43"/>
        <v>0</v>
      </c>
      <c r="AF20" s="63">
        <f t="shared" si="43"/>
        <v>9113.0519999999997</v>
      </c>
      <c r="AG20" s="63">
        <f t="shared" si="43"/>
        <v>0</v>
      </c>
      <c r="AH20" s="64"/>
      <c r="AI20" s="20"/>
    </row>
    <row r="21" spans="1:35" s="26" customFormat="1" ht="36" customHeight="1" x14ac:dyDescent="0.25">
      <c r="A21" s="380"/>
      <c r="B21" s="377"/>
      <c r="C21" s="124" t="s">
        <v>22</v>
      </c>
      <c r="D21" s="74">
        <f>SUM(J21,L21,N21,P21,R21,T21,V21,X21,Z21,AB21,AD21,AF21)</f>
        <v>713.9</v>
      </c>
      <c r="E21" s="74">
        <f t="shared" ref="E21:E22" si="44">J21+L21+N21</f>
        <v>178.458</v>
      </c>
      <c r="F21" s="74">
        <f>G21</f>
        <v>149.71</v>
      </c>
      <c r="G21" s="74">
        <f>SUM(K21,M21,O21,Q21,S21,U21,W21,Y21,AA21,AC21,AE21,AG21)</f>
        <v>149.71</v>
      </c>
      <c r="H21" s="74">
        <f>IFERROR(G21/D21*100,0)</f>
        <v>20.970724191063177</v>
      </c>
      <c r="I21" s="74">
        <f>IFERROR(G21/E21*100,0)</f>
        <v>83.890887491734759</v>
      </c>
      <c r="J21" s="67">
        <f>J25</f>
        <v>59.485999999999997</v>
      </c>
      <c r="K21" s="67">
        <f t="shared" ref="K21:AG22" si="45">K25</f>
        <v>0</v>
      </c>
      <c r="L21" s="67">
        <f t="shared" si="45"/>
        <v>59.485999999999997</v>
      </c>
      <c r="M21" s="67">
        <f t="shared" si="45"/>
        <v>0</v>
      </c>
      <c r="N21" s="67">
        <f t="shared" si="45"/>
        <v>59.485999999999997</v>
      </c>
      <c r="O21" s="67">
        <f t="shared" si="45"/>
        <v>137.78</v>
      </c>
      <c r="P21" s="67">
        <f t="shared" si="45"/>
        <v>59.485999999999997</v>
      </c>
      <c r="Q21" s="67">
        <f t="shared" si="45"/>
        <v>11.93</v>
      </c>
      <c r="R21" s="67">
        <f t="shared" si="45"/>
        <v>59.485999999999997</v>
      </c>
      <c r="S21" s="67">
        <f t="shared" si="45"/>
        <v>0</v>
      </c>
      <c r="T21" s="67">
        <f t="shared" si="45"/>
        <v>59.485999999999997</v>
      </c>
      <c r="U21" s="67">
        <f t="shared" si="45"/>
        <v>0</v>
      </c>
      <c r="V21" s="67">
        <f t="shared" si="45"/>
        <v>59.485999999999997</v>
      </c>
      <c r="W21" s="67">
        <f t="shared" si="45"/>
        <v>0</v>
      </c>
      <c r="X21" s="67">
        <f t="shared" si="45"/>
        <v>59.485999999999997</v>
      </c>
      <c r="Y21" s="67">
        <f t="shared" si="45"/>
        <v>0</v>
      </c>
      <c r="Z21" s="67">
        <f t="shared" si="45"/>
        <v>59.485999999999997</v>
      </c>
      <c r="AA21" s="67">
        <f t="shared" si="45"/>
        <v>0</v>
      </c>
      <c r="AB21" s="67">
        <f t="shared" si="45"/>
        <v>59.485999999999997</v>
      </c>
      <c r="AC21" s="67">
        <f t="shared" si="45"/>
        <v>0</v>
      </c>
      <c r="AD21" s="67">
        <f t="shared" si="45"/>
        <v>59.485999999999997</v>
      </c>
      <c r="AE21" s="67">
        <f t="shared" si="45"/>
        <v>0</v>
      </c>
      <c r="AF21" s="67">
        <f t="shared" si="45"/>
        <v>59.554000000000002</v>
      </c>
      <c r="AG21" s="67">
        <f t="shared" si="45"/>
        <v>0</v>
      </c>
      <c r="AH21" s="72"/>
      <c r="AI21" s="24"/>
    </row>
    <row r="22" spans="1:35" s="26" customFormat="1" ht="39" customHeight="1" x14ac:dyDescent="0.25">
      <c r="A22" s="374"/>
      <c r="B22" s="377"/>
      <c r="C22" s="124" t="s">
        <v>21</v>
      </c>
      <c r="D22" s="74">
        <f>SUM(J22,L22,N22,P22,R22,T22,V22,X22,Z22,AB22,AD22,AF22)</f>
        <v>11.9</v>
      </c>
      <c r="E22" s="74">
        <f t="shared" si="44"/>
        <v>2.9580000000000002</v>
      </c>
      <c r="F22" s="74">
        <f>G22</f>
        <v>2.48</v>
      </c>
      <c r="G22" s="74">
        <f>SUM(K22,M22,O22,Q22,S22,U22,W22,Y22,AA22,AC22,AE22,AG22)</f>
        <v>2.48</v>
      </c>
      <c r="H22" s="74">
        <f>IFERROR(G22/D22*100,0)</f>
        <v>20.840336134453779</v>
      </c>
      <c r="I22" s="74">
        <f>IFERROR(G22/E22*100,0)</f>
        <v>83.840432724814065</v>
      </c>
      <c r="J22" s="67">
        <f>J26</f>
        <v>0.98599999999999999</v>
      </c>
      <c r="K22" s="67">
        <f t="shared" si="45"/>
        <v>0</v>
      </c>
      <c r="L22" s="67">
        <f t="shared" si="45"/>
        <v>0.98599999999999999</v>
      </c>
      <c r="M22" s="67">
        <f t="shared" si="45"/>
        <v>0</v>
      </c>
      <c r="N22" s="67">
        <f t="shared" si="45"/>
        <v>0.98599999999999999</v>
      </c>
      <c r="O22" s="67">
        <f t="shared" si="45"/>
        <v>2.27</v>
      </c>
      <c r="P22" s="67">
        <f t="shared" si="45"/>
        <v>0.98599999999999999</v>
      </c>
      <c r="Q22" s="67">
        <f t="shared" si="45"/>
        <v>0.21</v>
      </c>
      <c r="R22" s="67">
        <f t="shared" si="45"/>
        <v>0.98599999999999999</v>
      </c>
      <c r="S22" s="67">
        <f t="shared" si="45"/>
        <v>0</v>
      </c>
      <c r="T22" s="67">
        <f t="shared" si="45"/>
        <v>0.98599999999999999</v>
      </c>
      <c r="U22" s="67">
        <f t="shared" si="45"/>
        <v>0</v>
      </c>
      <c r="V22" s="67">
        <f t="shared" si="45"/>
        <v>0.98599999999999999</v>
      </c>
      <c r="W22" s="67">
        <f t="shared" si="45"/>
        <v>0</v>
      </c>
      <c r="X22" s="67">
        <f t="shared" si="45"/>
        <v>0.98599999999999999</v>
      </c>
      <c r="Y22" s="67">
        <f t="shared" si="45"/>
        <v>0</v>
      </c>
      <c r="Z22" s="67">
        <f t="shared" si="45"/>
        <v>0.98599999999999999</v>
      </c>
      <c r="AA22" s="67">
        <f t="shared" si="45"/>
        <v>0</v>
      </c>
      <c r="AB22" s="67">
        <f t="shared" si="45"/>
        <v>0.98599999999999999</v>
      </c>
      <c r="AC22" s="67">
        <f t="shared" si="45"/>
        <v>0</v>
      </c>
      <c r="AD22" s="67">
        <f t="shared" si="45"/>
        <v>0.98599999999999999</v>
      </c>
      <c r="AE22" s="67">
        <f t="shared" si="45"/>
        <v>0</v>
      </c>
      <c r="AF22" s="67">
        <f t="shared" si="45"/>
        <v>1.054</v>
      </c>
      <c r="AG22" s="67">
        <f t="shared" si="45"/>
        <v>0</v>
      </c>
      <c r="AH22" s="72"/>
      <c r="AI22" s="24"/>
    </row>
    <row r="23" spans="1:35" s="22" customFormat="1" ht="30.75" customHeight="1" x14ac:dyDescent="0.25">
      <c r="A23" s="381"/>
      <c r="B23" s="384" t="s">
        <v>243</v>
      </c>
      <c r="C23" s="125" t="s">
        <v>20</v>
      </c>
      <c r="D23" s="70">
        <f>D26+D25+D24</f>
        <v>1182.2</v>
      </c>
      <c r="E23" s="70">
        <f t="shared" ref="E23:G23" si="46">E26+E25+E24</f>
        <v>394</v>
      </c>
      <c r="F23" s="70">
        <f t="shared" si="46"/>
        <v>247.91</v>
      </c>
      <c r="G23" s="70">
        <f t="shared" si="46"/>
        <v>247.91</v>
      </c>
      <c r="H23" s="58">
        <f t="shared" ref="H23" si="47">IFERROR(G23/D23*100,0)</f>
        <v>20.970225004229402</v>
      </c>
      <c r="I23" s="58">
        <f t="shared" ref="I23" si="48">IFERROR(G23/E23*100,0)</f>
        <v>62.921319796954315</v>
      </c>
      <c r="J23" s="59">
        <f>J26+J25+J24</f>
        <v>98.5</v>
      </c>
      <c r="K23" s="59">
        <f t="shared" ref="K23:AG23" si="49">K26+K25+K24</f>
        <v>0</v>
      </c>
      <c r="L23" s="59">
        <f t="shared" si="49"/>
        <v>98.5</v>
      </c>
      <c r="M23" s="59">
        <f t="shared" si="49"/>
        <v>0</v>
      </c>
      <c r="N23" s="59">
        <f t="shared" si="49"/>
        <v>98.5</v>
      </c>
      <c r="O23" s="59">
        <f t="shared" si="49"/>
        <v>228.14000000000001</v>
      </c>
      <c r="P23" s="59">
        <f t="shared" si="49"/>
        <v>98.5</v>
      </c>
      <c r="Q23" s="59">
        <f t="shared" si="49"/>
        <v>19.77</v>
      </c>
      <c r="R23" s="59">
        <f t="shared" si="49"/>
        <v>98.5</v>
      </c>
      <c r="S23" s="59">
        <f t="shared" si="49"/>
        <v>0</v>
      </c>
      <c r="T23" s="59">
        <f t="shared" si="49"/>
        <v>98.5</v>
      </c>
      <c r="U23" s="59">
        <f t="shared" si="49"/>
        <v>0</v>
      </c>
      <c r="V23" s="59">
        <f t="shared" si="49"/>
        <v>98.5</v>
      </c>
      <c r="W23" s="59">
        <f t="shared" si="49"/>
        <v>0</v>
      </c>
      <c r="X23" s="59">
        <f t="shared" si="49"/>
        <v>98.5</v>
      </c>
      <c r="Y23" s="59">
        <f t="shared" si="49"/>
        <v>0</v>
      </c>
      <c r="Z23" s="59">
        <f t="shared" si="49"/>
        <v>98.5</v>
      </c>
      <c r="AA23" s="59">
        <f t="shared" si="49"/>
        <v>0</v>
      </c>
      <c r="AB23" s="59">
        <f t="shared" si="49"/>
        <v>98.5</v>
      </c>
      <c r="AC23" s="59">
        <f t="shared" si="49"/>
        <v>0</v>
      </c>
      <c r="AD23" s="59">
        <f t="shared" si="49"/>
        <v>98.5</v>
      </c>
      <c r="AE23" s="59">
        <f t="shared" si="49"/>
        <v>0</v>
      </c>
      <c r="AF23" s="59">
        <f t="shared" si="49"/>
        <v>98.7</v>
      </c>
      <c r="AG23" s="59">
        <f t="shared" si="49"/>
        <v>0</v>
      </c>
      <c r="AH23" s="60"/>
      <c r="AI23" s="20"/>
    </row>
    <row r="24" spans="1:35" s="22" customFormat="1" ht="22.5" customHeight="1" x14ac:dyDescent="0.25">
      <c r="A24" s="382"/>
      <c r="B24" s="385"/>
      <c r="C24" s="126" t="s">
        <v>52</v>
      </c>
      <c r="D24" s="74">
        <f>SUM(J24,L24,N24,P24,R24,T24,V24,X24,Z24,AB24,AD24,AF24)</f>
        <v>456.40000000000003</v>
      </c>
      <c r="E24" s="62">
        <f>J24+L24+N24+P24</f>
        <v>152.11199999999999</v>
      </c>
      <c r="F24" s="62">
        <f>G24</f>
        <v>95.72</v>
      </c>
      <c r="G24" s="62">
        <f>SUM(K24,M24,O24,Q24,S24,U24,W24,Y24,AA24,AC24,AE24,AG24)</f>
        <v>95.72</v>
      </c>
      <c r="H24" s="62">
        <f>IFERROR(G24/D24*100,0)</f>
        <v>20.972830850131462</v>
      </c>
      <c r="I24" s="62">
        <f>IFERROR(G24/E24*100,0)</f>
        <v>62.927316714000213</v>
      </c>
      <c r="J24" s="63">
        <v>38.027999999999999</v>
      </c>
      <c r="K24" s="63">
        <v>0</v>
      </c>
      <c r="L24" s="63">
        <v>38.027999999999999</v>
      </c>
      <c r="M24" s="63">
        <v>0</v>
      </c>
      <c r="N24" s="63">
        <v>38.027999999999999</v>
      </c>
      <c r="O24" s="63">
        <v>88.09</v>
      </c>
      <c r="P24" s="63">
        <v>38.027999999999999</v>
      </c>
      <c r="Q24" s="63">
        <v>7.63</v>
      </c>
      <c r="R24" s="63">
        <v>38.027999999999999</v>
      </c>
      <c r="S24" s="63">
        <v>0</v>
      </c>
      <c r="T24" s="63">
        <v>38.027999999999999</v>
      </c>
      <c r="U24" s="63">
        <v>0</v>
      </c>
      <c r="V24" s="63">
        <v>38.027999999999999</v>
      </c>
      <c r="W24" s="63">
        <v>0</v>
      </c>
      <c r="X24" s="63">
        <v>38.027999999999999</v>
      </c>
      <c r="Y24" s="63">
        <v>0</v>
      </c>
      <c r="Z24" s="63">
        <v>38.027999999999999</v>
      </c>
      <c r="AA24" s="63">
        <v>0</v>
      </c>
      <c r="AB24" s="63">
        <v>38.027999999999999</v>
      </c>
      <c r="AC24" s="63">
        <v>0</v>
      </c>
      <c r="AD24" s="63">
        <v>38.027999999999999</v>
      </c>
      <c r="AE24" s="63">
        <v>0</v>
      </c>
      <c r="AF24" s="63">
        <v>38.091999999999999</v>
      </c>
      <c r="AG24" s="63">
        <v>0</v>
      </c>
      <c r="AH24" s="60"/>
      <c r="AI24" s="20"/>
    </row>
    <row r="25" spans="1:35" s="22" customFormat="1" ht="39.75" customHeight="1" x14ac:dyDescent="0.25">
      <c r="A25" s="382"/>
      <c r="B25" s="385"/>
      <c r="C25" s="124" t="s">
        <v>22</v>
      </c>
      <c r="D25" s="74">
        <f>SUM(J25,L25,N25,P25,R25,T25,V25,X25,Z25,AB25,AD25,AF25)</f>
        <v>713.9</v>
      </c>
      <c r="E25" s="62">
        <f t="shared" ref="E25:E26" si="50">J25+L25+N25+P25</f>
        <v>237.94399999999999</v>
      </c>
      <c r="F25" s="62">
        <f>G25</f>
        <v>149.71</v>
      </c>
      <c r="G25" s="62">
        <f>SUM(K25,M25,O25,Q25,S25,U25,W25,Y25,AA25,AC25,AE25,AG25)</f>
        <v>149.71</v>
      </c>
      <c r="H25" s="62">
        <f>IFERROR(G25/D25*100,0)</f>
        <v>20.970724191063177</v>
      </c>
      <c r="I25" s="62">
        <f>IFERROR(G25/E25*100,0)</f>
        <v>62.918165618801069</v>
      </c>
      <c r="J25" s="63">
        <v>59.485999999999997</v>
      </c>
      <c r="K25" s="63">
        <v>0</v>
      </c>
      <c r="L25" s="63">
        <v>59.485999999999997</v>
      </c>
      <c r="M25" s="63">
        <v>0</v>
      </c>
      <c r="N25" s="63">
        <v>59.485999999999997</v>
      </c>
      <c r="O25" s="63">
        <v>137.78</v>
      </c>
      <c r="P25" s="63">
        <v>59.485999999999997</v>
      </c>
      <c r="Q25" s="63">
        <v>11.93</v>
      </c>
      <c r="R25" s="63">
        <v>59.485999999999997</v>
      </c>
      <c r="S25" s="63">
        <v>0</v>
      </c>
      <c r="T25" s="63">
        <v>59.485999999999997</v>
      </c>
      <c r="U25" s="63">
        <v>0</v>
      </c>
      <c r="V25" s="63">
        <v>59.485999999999997</v>
      </c>
      <c r="W25" s="63">
        <v>0</v>
      </c>
      <c r="X25" s="63">
        <v>59.485999999999997</v>
      </c>
      <c r="Y25" s="63">
        <v>0</v>
      </c>
      <c r="Z25" s="63">
        <v>59.485999999999997</v>
      </c>
      <c r="AA25" s="63">
        <v>0</v>
      </c>
      <c r="AB25" s="63">
        <v>59.485999999999997</v>
      </c>
      <c r="AC25" s="63">
        <v>0</v>
      </c>
      <c r="AD25" s="63">
        <v>59.485999999999997</v>
      </c>
      <c r="AE25" s="63">
        <v>0</v>
      </c>
      <c r="AF25" s="63">
        <v>59.554000000000002</v>
      </c>
      <c r="AG25" s="63">
        <v>0</v>
      </c>
      <c r="AH25" s="60"/>
      <c r="AI25" s="20"/>
    </row>
    <row r="26" spans="1:35" s="22" customFormat="1" ht="33" customHeight="1" x14ac:dyDescent="0.25">
      <c r="A26" s="383"/>
      <c r="B26" s="385"/>
      <c r="C26" s="124" t="s">
        <v>21</v>
      </c>
      <c r="D26" s="74">
        <f>SUM(J26,L26,N26,P26,R26,T26,V26,X26,Z26,AB26,AD26,AF26)</f>
        <v>11.9</v>
      </c>
      <c r="E26" s="62">
        <f t="shared" si="50"/>
        <v>3.944</v>
      </c>
      <c r="F26" s="62">
        <f>G26</f>
        <v>2.48</v>
      </c>
      <c r="G26" s="62">
        <f>SUM(K26,M26,O26,Q26,S26,U26,W26,Y26,AA26,AC26,AE26,AG26)</f>
        <v>2.48</v>
      </c>
      <c r="H26" s="62">
        <f>IFERROR(G26/D26*100,0)</f>
        <v>20.840336134453779</v>
      </c>
      <c r="I26" s="62">
        <f>IFERROR(G26/E26*100,0)</f>
        <v>62.880324543610541</v>
      </c>
      <c r="J26" s="63">
        <v>0.98599999999999999</v>
      </c>
      <c r="K26" s="63">
        <v>0</v>
      </c>
      <c r="L26" s="63">
        <v>0.98599999999999999</v>
      </c>
      <c r="M26" s="63">
        <v>0</v>
      </c>
      <c r="N26" s="63">
        <v>0.98599999999999999</v>
      </c>
      <c r="O26" s="63">
        <v>2.27</v>
      </c>
      <c r="P26" s="63">
        <v>0.98599999999999999</v>
      </c>
      <c r="Q26" s="63">
        <v>0.21</v>
      </c>
      <c r="R26" s="63">
        <v>0.98599999999999999</v>
      </c>
      <c r="S26" s="63">
        <v>0</v>
      </c>
      <c r="T26" s="63">
        <v>0.98599999999999999</v>
      </c>
      <c r="U26" s="63">
        <v>0</v>
      </c>
      <c r="V26" s="63">
        <v>0.98599999999999999</v>
      </c>
      <c r="W26" s="63">
        <v>0</v>
      </c>
      <c r="X26" s="63">
        <v>0.98599999999999999</v>
      </c>
      <c r="Y26" s="63">
        <v>0</v>
      </c>
      <c r="Z26" s="63">
        <v>0.98599999999999999</v>
      </c>
      <c r="AA26" s="63">
        <v>0</v>
      </c>
      <c r="AB26" s="63">
        <v>0.98599999999999999</v>
      </c>
      <c r="AC26" s="63">
        <v>0</v>
      </c>
      <c r="AD26" s="63">
        <v>0.98599999999999999</v>
      </c>
      <c r="AE26" s="63">
        <v>0</v>
      </c>
      <c r="AF26" s="63">
        <v>1.054</v>
      </c>
      <c r="AG26" s="63">
        <v>0</v>
      </c>
      <c r="AH26" s="60"/>
      <c r="AI26" s="20"/>
    </row>
    <row r="27" spans="1:35" s="22" customFormat="1" ht="78.75" customHeight="1" x14ac:dyDescent="0.25">
      <c r="A27" s="374"/>
      <c r="B27" s="386" t="s">
        <v>244</v>
      </c>
      <c r="C27" s="125" t="s">
        <v>20</v>
      </c>
      <c r="D27" s="70">
        <f>D29+D28</f>
        <v>107805.68000000001</v>
      </c>
      <c r="E27" s="58">
        <f t="shared" ref="E27:G27" si="51">E29+E28</f>
        <v>35935.199999999997</v>
      </c>
      <c r="F27" s="58">
        <f t="shared" si="51"/>
        <v>27154.469999999998</v>
      </c>
      <c r="G27" s="58">
        <f t="shared" si="51"/>
        <v>27154.469999999998</v>
      </c>
      <c r="H27" s="58">
        <f t="shared" ref="H27" si="52">IFERROR(G27/D27*100,0)</f>
        <v>25.188348146405641</v>
      </c>
      <c r="I27" s="58">
        <f t="shared" ref="I27" si="53">IFERROR(G27/E27*100,0)</f>
        <v>75.565100514259001</v>
      </c>
      <c r="J27" s="59">
        <f>J29+J28</f>
        <v>8983.7999999999993</v>
      </c>
      <c r="K27" s="59">
        <f t="shared" ref="K27:AG27" si="54">K29+K28</f>
        <v>0</v>
      </c>
      <c r="L27" s="59">
        <f t="shared" si="54"/>
        <v>8983.7999999999993</v>
      </c>
      <c r="M27" s="59">
        <f t="shared" si="54"/>
        <v>0</v>
      </c>
      <c r="N27" s="59">
        <f t="shared" si="54"/>
        <v>8983.7999999999993</v>
      </c>
      <c r="O27" s="59">
        <f t="shared" si="54"/>
        <v>19445.669999999998</v>
      </c>
      <c r="P27" s="59">
        <f t="shared" si="54"/>
        <v>8983.7999999999993</v>
      </c>
      <c r="Q27" s="59">
        <f t="shared" si="54"/>
        <v>7708.8</v>
      </c>
      <c r="R27" s="59">
        <f t="shared" si="54"/>
        <v>8983.8799999999992</v>
      </c>
      <c r="S27" s="59">
        <f t="shared" si="54"/>
        <v>0</v>
      </c>
      <c r="T27" s="59">
        <f t="shared" si="54"/>
        <v>8983.7999999999993</v>
      </c>
      <c r="U27" s="59">
        <f t="shared" si="54"/>
        <v>0</v>
      </c>
      <c r="V27" s="59">
        <f t="shared" si="54"/>
        <v>8983.7999999999993</v>
      </c>
      <c r="W27" s="59">
        <f t="shared" si="54"/>
        <v>0</v>
      </c>
      <c r="X27" s="59">
        <f t="shared" si="54"/>
        <v>8983.7999999999993</v>
      </c>
      <c r="Y27" s="59">
        <f t="shared" si="54"/>
        <v>0</v>
      </c>
      <c r="Z27" s="59">
        <f t="shared" si="54"/>
        <v>8983.7999999999993</v>
      </c>
      <c r="AA27" s="59">
        <f t="shared" si="54"/>
        <v>0</v>
      </c>
      <c r="AB27" s="59">
        <f t="shared" si="54"/>
        <v>8983.7999999999993</v>
      </c>
      <c r="AC27" s="59">
        <f t="shared" si="54"/>
        <v>0</v>
      </c>
      <c r="AD27" s="59">
        <f t="shared" si="54"/>
        <v>8983.7999999999993</v>
      </c>
      <c r="AE27" s="59">
        <f t="shared" si="54"/>
        <v>0</v>
      </c>
      <c r="AF27" s="59">
        <f t="shared" si="54"/>
        <v>8983.7999999999993</v>
      </c>
      <c r="AG27" s="59">
        <f t="shared" si="54"/>
        <v>0</v>
      </c>
      <c r="AH27" s="60"/>
      <c r="AI27" s="20"/>
    </row>
    <row r="28" spans="1:35" s="22" customFormat="1" ht="27" hidden="1" customHeight="1" x14ac:dyDescent="0.25">
      <c r="A28" s="374"/>
      <c r="B28" s="386"/>
      <c r="C28" s="126" t="s">
        <v>22</v>
      </c>
      <c r="D28" s="74">
        <f>SUM(J28,L28,N28,P28,R28,T28,V28,X28,Z28,AB28,AD28,AF28)</f>
        <v>0</v>
      </c>
      <c r="E28" s="62">
        <f>J28</f>
        <v>0</v>
      </c>
      <c r="F28" s="62">
        <f>G28</f>
        <v>0</v>
      </c>
      <c r="G28" s="62">
        <f>SUM(K28,M28,O28,Q28,S28,U28,W28,Y28,AA28,AC28,AE28,AG28)</f>
        <v>0</v>
      </c>
      <c r="H28" s="62">
        <f>IFERROR(G28/D28*100,0)</f>
        <v>0</v>
      </c>
      <c r="I28" s="62">
        <f>IFERROR(G28/E28*100,0)</f>
        <v>0</v>
      </c>
      <c r="J28" s="63">
        <v>0</v>
      </c>
      <c r="K28" s="63">
        <v>0</v>
      </c>
      <c r="L28" s="63">
        <v>0</v>
      </c>
      <c r="M28" s="63">
        <v>0</v>
      </c>
      <c r="N28" s="63">
        <v>0</v>
      </c>
      <c r="O28" s="63">
        <v>0</v>
      </c>
      <c r="P28" s="63">
        <v>0</v>
      </c>
      <c r="Q28" s="63">
        <v>0</v>
      </c>
      <c r="R28" s="63">
        <v>0</v>
      </c>
      <c r="S28" s="63">
        <v>0</v>
      </c>
      <c r="T28" s="63">
        <v>0</v>
      </c>
      <c r="U28" s="63">
        <v>0</v>
      </c>
      <c r="V28" s="63">
        <v>0</v>
      </c>
      <c r="W28" s="63">
        <v>0</v>
      </c>
      <c r="X28" s="63">
        <v>0</v>
      </c>
      <c r="Y28" s="63">
        <v>0</v>
      </c>
      <c r="Z28" s="63">
        <v>0</v>
      </c>
      <c r="AA28" s="63">
        <v>0</v>
      </c>
      <c r="AB28" s="63">
        <v>0</v>
      </c>
      <c r="AC28" s="63">
        <v>0</v>
      </c>
      <c r="AD28" s="63">
        <v>0</v>
      </c>
      <c r="AE28" s="63">
        <v>0</v>
      </c>
      <c r="AF28" s="63">
        <v>0</v>
      </c>
      <c r="AG28" s="63">
        <v>0</v>
      </c>
      <c r="AH28" s="60"/>
      <c r="AI28" s="20"/>
    </row>
    <row r="29" spans="1:35" s="22" customFormat="1" ht="112.5" customHeight="1" x14ac:dyDescent="0.25">
      <c r="A29" s="375"/>
      <c r="B29" s="386"/>
      <c r="C29" s="126" t="s">
        <v>52</v>
      </c>
      <c r="D29" s="74">
        <f>SUM(J29,L29,N29,P29,R29,T29,V29,X29,Z29,AB29,AD29,AF29)</f>
        <v>107805.68000000001</v>
      </c>
      <c r="E29" s="62">
        <f>J29+L29+N29+P29</f>
        <v>35935.199999999997</v>
      </c>
      <c r="F29" s="62">
        <f>G29</f>
        <v>27154.469999999998</v>
      </c>
      <c r="G29" s="62">
        <f t="shared" ref="G29" si="55">SUM(K29,M29,O29,Q29,S29,U29,W29,Y29,AA29,AC29,AE29,AG29)</f>
        <v>27154.469999999998</v>
      </c>
      <c r="H29" s="62">
        <f>IFERROR(G29/D29*100,0)</f>
        <v>25.188348146405641</v>
      </c>
      <c r="I29" s="62">
        <f>IFERROR(G29/E29*100,0)</f>
        <v>75.565100514259001</v>
      </c>
      <c r="J29" s="63">
        <v>8983.7999999999993</v>
      </c>
      <c r="K29" s="63">
        <v>0</v>
      </c>
      <c r="L29" s="63">
        <v>8983.7999999999993</v>
      </c>
      <c r="M29" s="63">
        <v>0</v>
      </c>
      <c r="N29" s="63">
        <v>8983.7999999999993</v>
      </c>
      <c r="O29" s="63">
        <v>19445.669999999998</v>
      </c>
      <c r="P29" s="63">
        <v>8983.7999999999993</v>
      </c>
      <c r="Q29" s="63">
        <v>7708.8</v>
      </c>
      <c r="R29" s="63">
        <v>8983.8799999999992</v>
      </c>
      <c r="S29" s="63">
        <v>0</v>
      </c>
      <c r="T29" s="63">
        <v>8983.7999999999993</v>
      </c>
      <c r="U29" s="63">
        <v>0</v>
      </c>
      <c r="V29" s="63">
        <v>8983.7999999999993</v>
      </c>
      <c r="W29" s="63">
        <v>0</v>
      </c>
      <c r="X29" s="63">
        <v>8983.7999999999993</v>
      </c>
      <c r="Y29" s="63">
        <v>0</v>
      </c>
      <c r="Z29" s="63">
        <v>8983.7999999999993</v>
      </c>
      <c r="AA29" s="63">
        <v>0</v>
      </c>
      <c r="AB29" s="63">
        <v>8983.7999999999993</v>
      </c>
      <c r="AC29" s="63">
        <v>0</v>
      </c>
      <c r="AD29" s="63">
        <v>8983.7999999999993</v>
      </c>
      <c r="AE29" s="63">
        <v>0</v>
      </c>
      <c r="AF29" s="63">
        <v>8983.7999999999993</v>
      </c>
      <c r="AG29" s="63">
        <v>0</v>
      </c>
      <c r="AH29" s="60"/>
      <c r="AI29" s="20"/>
    </row>
    <row r="30" spans="1:35" s="22" customFormat="1" ht="63.75" customHeight="1" x14ac:dyDescent="0.25">
      <c r="A30" s="387"/>
      <c r="B30" s="384" t="s">
        <v>245</v>
      </c>
      <c r="C30" s="125" t="s">
        <v>20</v>
      </c>
      <c r="D30" s="70">
        <f>D32+D31</f>
        <v>1093.7</v>
      </c>
      <c r="E30" s="58">
        <f t="shared" ref="E30:G30" si="56">E32+E31</f>
        <v>364.56</v>
      </c>
      <c r="F30" s="58">
        <f t="shared" si="56"/>
        <v>319.60000000000002</v>
      </c>
      <c r="G30" s="58">
        <f t="shared" si="56"/>
        <v>319.60000000000002</v>
      </c>
      <c r="H30" s="58">
        <f t="shared" ref="H30" si="57">IFERROR(G30/D30*100,0)</f>
        <v>29.221907287190273</v>
      </c>
      <c r="I30" s="58">
        <f t="shared" ref="I30" si="58">IFERROR(G30/E30*100,0)</f>
        <v>87.667324994513933</v>
      </c>
      <c r="J30" s="59">
        <f>J32+J31</f>
        <v>91.14</v>
      </c>
      <c r="K30" s="59">
        <f t="shared" ref="K30:AG30" si="59">K32+K31</f>
        <v>0</v>
      </c>
      <c r="L30" s="59">
        <f t="shared" si="59"/>
        <v>91.14</v>
      </c>
      <c r="M30" s="59">
        <f t="shared" si="59"/>
        <v>0</v>
      </c>
      <c r="N30" s="59">
        <f t="shared" si="59"/>
        <v>91.14</v>
      </c>
      <c r="O30" s="59">
        <f t="shared" si="59"/>
        <v>240</v>
      </c>
      <c r="P30" s="59">
        <f t="shared" si="59"/>
        <v>91.14</v>
      </c>
      <c r="Q30" s="59">
        <f t="shared" si="59"/>
        <v>79.599999999999994</v>
      </c>
      <c r="R30" s="59">
        <f t="shared" si="59"/>
        <v>91.14</v>
      </c>
      <c r="S30" s="59">
        <f t="shared" si="59"/>
        <v>0</v>
      </c>
      <c r="T30" s="59">
        <f t="shared" si="59"/>
        <v>91.14</v>
      </c>
      <c r="U30" s="59">
        <f t="shared" si="59"/>
        <v>0</v>
      </c>
      <c r="V30" s="59">
        <f t="shared" si="59"/>
        <v>91.14</v>
      </c>
      <c r="W30" s="59">
        <f t="shared" si="59"/>
        <v>0</v>
      </c>
      <c r="X30" s="59">
        <f t="shared" si="59"/>
        <v>91.14</v>
      </c>
      <c r="Y30" s="59">
        <f t="shared" si="59"/>
        <v>0</v>
      </c>
      <c r="Z30" s="59">
        <f t="shared" si="59"/>
        <v>91.14</v>
      </c>
      <c r="AA30" s="59">
        <f t="shared" si="59"/>
        <v>0</v>
      </c>
      <c r="AB30" s="59">
        <f t="shared" si="59"/>
        <v>91.14</v>
      </c>
      <c r="AC30" s="59">
        <f t="shared" si="59"/>
        <v>0</v>
      </c>
      <c r="AD30" s="59">
        <f t="shared" si="59"/>
        <v>91.14</v>
      </c>
      <c r="AE30" s="59">
        <f t="shared" si="59"/>
        <v>0</v>
      </c>
      <c r="AF30" s="59">
        <f t="shared" si="59"/>
        <v>91.16</v>
      </c>
      <c r="AG30" s="59">
        <f t="shared" si="59"/>
        <v>0</v>
      </c>
      <c r="AH30" s="60"/>
      <c r="AI30" s="20"/>
    </row>
    <row r="31" spans="1:35" s="22" customFormat="1" ht="96.75" customHeight="1" x14ac:dyDescent="0.25">
      <c r="A31" s="383"/>
      <c r="B31" s="385"/>
      <c r="C31" s="126" t="s">
        <v>52</v>
      </c>
      <c r="D31" s="74">
        <f>SUM(J31,L31,N31,P31,R31,T31,V31,X31,Z31,AB31,AD31,AF31)</f>
        <v>1093.7</v>
      </c>
      <c r="E31" s="62">
        <f>J31+L31+N31+P31</f>
        <v>364.56</v>
      </c>
      <c r="F31" s="62">
        <f>G31</f>
        <v>319.60000000000002</v>
      </c>
      <c r="G31" s="62">
        <f>SUM(K31,M31,O31,Q31,S31,U31,W31,Y31,AA31,AC31,AE31,AG31)</f>
        <v>319.60000000000002</v>
      </c>
      <c r="H31" s="62">
        <f>IFERROR(G31/D31*100,0)</f>
        <v>29.221907287190273</v>
      </c>
      <c r="I31" s="62">
        <f>IFERROR(G31/E31*100,0)</f>
        <v>87.667324994513933</v>
      </c>
      <c r="J31" s="63">
        <v>91.14</v>
      </c>
      <c r="K31" s="63">
        <v>0</v>
      </c>
      <c r="L31" s="63">
        <v>91.14</v>
      </c>
      <c r="M31" s="63">
        <v>0</v>
      </c>
      <c r="N31" s="63">
        <v>91.14</v>
      </c>
      <c r="O31" s="63">
        <v>240</v>
      </c>
      <c r="P31" s="63">
        <v>91.14</v>
      </c>
      <c r="Q31" s="63">
        <v>79.599999999999994</v>
      </c>
      <c r="R31" s="63">
        <v>91.14</v>
      </c>
      <c r="S31" s="63">
        <v>0</v>
      </c>
      <c r="T31" s="63">
        <v>91.14</v>
      </c>
      <c r="U31" s="63">
        <v>0</v>
      </c>
      <c r="V31" s="63">
        <v>91.14</v>
      </c>
      <c r="W31" s="63">
        <v>0</v>
      </c>
      <c r="X31" s="63">
        <v>91.14</v>
      </c>
      <c r="Y31" s="63">
        <v>0</v>
      </c>
      <c r="Z31" s="63">
        <v>91.14</v>
      </c>
      <c r="AA31" s="63">
        <v>0</v>
      </c>
      <c r="AB31" s="63">
        <v>91.14</v>
      </c>
      <c r="AC31" s="63">
        <v>0</v>
      </c>
      <c r="AD31" s="63">
        <v>91.14</v>
      </c>
      <c r="AE31" s="63">
        <v>0</v>
      </c>
      <c r="AF31" s="63">
        <v>91.16</v>
      </c>
      <c r="AG31" s="63">
        <v>0</v>
      </c>
      <c r="AH31" s="63"/>
      <c r="AI31" s="20"/>
    </row>
    <row r="32" spans="1:35" s="22" customFormat="1" ht="12" hidden="1" customHeight="1" x14ac:dyDescent="0.25">
      <c r="A32" s="388"/>
      <c r="B32" s="385"/>
      <c r="C32" s="140" t="s">
        <v>21</v>
      </c>
      <c r="D32" s="141">
        <f>SUM(J32,L32,N32,P32,R32,T32,V32,X32,Z32,AB32,AD32,AF32)</f>
        <v>0</v>
      </c>
      <c r="E32" s="142">
        <f>J32</f>
        <v>0</v>
      </c>
      <c r="F32" s="142">
        <f>G32</f>
        <v>0</v>
      </c>
      <c r="G32" s="142">
        <f>SUM(K32,M32,O32,Q32,S32,U32,W32,Y32,AA32,AC32,AE32,AG32)</f>
        <v>0</v>
      </c>
      <c r="H32" s="142">
        <f>IFERROR(G32/D32*100,0)</f>
        <v>0</v>
      </c>
      <c r="I32" s="142">
        <f>IFERROR(G32/E32*100,0)</f>
        <v>0</v>
      </c>
      <c r="J32" s="157">
        <v>0</v>
      </c>
      <c r="K32" s="157">
        <v>0</v>
      </c>
      <c r="L32" s="157">
        <v>0</v>
      </c>
      <c r="M32" s="157">
        <v>0</v>
      </c>
      <c r="N32" s="157">
        <v>0</v>
      </c>
      <c r="O32" s="157">
        <v>0</v>
      </c>
      <c r="P32" s="157">
        <v>0</v>
      </c>
      <c r="Q32" s="157">
        <v>0</v>
      </c>
      <c r="R32" s="157">
        <v>0</v>
      </c>
      <c r="S32" s="157">
        <v>0</v>
      </c>
      <c r="T32" s="157">
        <v>0</v>
      </c>
      <c r="U32" s="157">
        <v>0</v>
      </c>
      <c r="V32" s="157">
        <v>0</v>
      </c>
      <c r="W32" s="157">
        <v>0</v>
      </c>
      <c r="X32" s="157">
        <v>0</v>
      </c>
      <c r="Y32" s="157">
        <v>0</v>
      </c>
      <c r="Z32" s="157">
        <v>0</v>
      </c>
      <c r="AA32" s="157">
        <v>0</v>
      </c>
      <c r="AB32" s="157">
        <v>0</v>
      </c>
      <c r="AC32" s="157">
        <v>0</v>
      </c>
      <c r="AD32" s="157">
        <v>0</v>
      </c>
      <c r="AE32" s="157">
        <v>0</v>
      </c>
      <c r="AF32" s="157">
        <v>0</v>
      </c>
      <c r="AG32" s="157">
        <v>0</v>
      </c>
      <c r="AH32" s="48"/>
      <c r="AI32" s="20"/>
    </row>
    <row r="33" spans="1:35" s="22" customFormat="1" ht="28.5" customHeight="1" x14ac:dyDescent="0.25">
      <c r="A33" s="379" t="s">
        <v>37</v>
      </c>
      <c r="B33" s="376" t="s">
        <v>246</v>
      </c>
      <c r="C33" s="125" t="s">
        <v>20</v>
      </c>
      <c r="D33" s="70">
        <f>D37+D36+D34+D35</f>
        <v>3302041.8810000001</v>
      </c>
      <c r="E33" s="70">
        <f t="shared" ref="E33:G33" si="60">E37+E36+E34+E35</f>
        <v>306156.929</v>
      </c>
      <c r="F33" s="70">
        <f t="shared" si="60"/>
        <v>1135353.4610000001</v>
      </c>
      <c r="G33" s="70">
        <f t="shared" si="60"/>
        <v>1135353.4610000001</v>
      </c>
      <c r="H33" s="58">
        <f t="shared" ref="H33:H35" si="61">IFERROR(G33/D33*100,0)</f>
        <v>34.383375557192096</v>
      </c>
      <c r="I33" s="58">
        <f t="shared" ref="I33:I35" si="62">IFERROR(G33/E33*100,0)</f>
        <v>370.84036108815297</v>
      </c>
      <c r="J33" s="59">
        <f>J37+J36+J34+J35</f>
        <v>306156.929</v>
      </c>
      <c r="K33" s="59">
        <f t="shared" ref="K33:AG33" si="63">K37+K36+K34+K35</f>
        <v>117626.914</v>
      </c>
      <c r="L33" s="59">
        <f t="shared" si="63"/>
        <v>438966.81900000002</v>
      </c>
      <c r="M33" s="59">
        <f t="shared" si="63"/>
        <v>159963.647</v>
      </c>
      <c r="N33" s="59">
        <f t="shared" si="63"/>
        <v>355312.79600000003</v>
      </c>
      <c r="O33" s="59">
        <f t="shared" si="63"/>
        <v>443442.96</v>
      </c>
      <c r="P33" s="59">
        <f t="shared" si="63"/>
        <v>312108.83400000003</v>
      </c>
      <c r="Q33" s="59">
        <f t="shared" si="63"/>
        <v>414319.94000000006</v>
      </c>
      <c r="R33" s="59">
        <f t="shared" si="63"/>
        <v>448280.43699999998</v>
      </c>
      <c r="S33" s="59">
        <f t="shared" si="63"/>
        <v>0</v>
      </c>
      <c r="T33" s="59">
        <f t="shared" si="63"/>
        <v>273246.43999999994</v>
      </c>
      <c r="U33" s="59">
        <f t="shared" si="63"/>
        <v>0</v>
      </c>
      <c r="V33" s="59">
        <f t="shared" si="63"/>
        <v>168726.73300000001</v>
      </c>
      <c r="W33" s="59">
        <f t="shared" si="63"/>
        <v>0</v>
      </c>
      <c r="X33" s="59">
        <f t="shared" si="63"/>
        <v>131459.32800000001</v>
      </c>
      <c r="Y33" s="59">
        <f t="shared" si="63"/>
        <v>0</v>
      </c>
      <c r="Z33" s="59">
        <f t="shared" si="63"/>
        <v>184077.77</v>
      </c>
      <c r="AA33" s="59">
        <f t="shared" si="63"/>
        <v>0</v>
      </c>
      <c r="AB33" s="59">
        <f t="shared" si="63"/>
        <v>192316.41499999998</v>
      </c>
      <c r="AC33" s="59">
        <f t="shared" si="63"/>
        <v>0</v>
      </c>
      <c r="AD33" s="59">
        <f t="shared" si="63"/>
        <v>171687.09599999999</v>
      </c>
      <c r="AE33" s="59">
        <f t="shared" si="63"/>
        <v>0</v>
      </c>
      <c r="AF33" s="59">
        <f t="shared" si="63"/>
        <v>319702.28400000004</v>
      </c>
      <c r="AG33" s="59">
        <f t="shared" si="63"/>
        <v>0</v>
      </c>
      <c r="AH33" s="60"/>
      <c r="AI33" s="20"/>
    </row>
    <row r="34" spans="1:35" s="22" customFormat="1" ht="28.5" customHeight="1" x14ac:dyDescent="0.25">
      <c r="A34" s="380"/>
      <c r="B34" s="377"/>
      <c r="C34" s="126" t="s">
        <v>52</v>
      </c>
      <c r="D34" s="74">
        <f t="shared" ref="D34:D35" si="64">SUM(J34,L34,N34,P34,R34,T34,V34,X34,Z34,AB34,AD34,AF34)</f>
        <v>24359.297000000006</v>
      </c>
      <c r="E34" s="74">
        <f t="shared" ref="E34:E35" si="65">J34</f>
        <v>0</v>
      </c>
      <c r="F34" s="74">
        <f t="shared" ref="F34:F35" si="66">G34</f>
        <v>7721.9000000000005</v>
      </c>
      <c r="G34" s="74">
        <f t="shared" ref="G34:G35" si="67">SUM(K34,M34,O34,Q34,S34,U34,W34,Y34,AA34,AC34,AE34,AG34)</f>
        <v>7721.9000000000005</v>
      </c>
      <c r="H34" s="74">
        <f t="shared" si="61"/>
        <v>31.700011703950238</v>
      </c>
      <c r="I34" s="74">
        <f t="shared" si="62"/>
        <v>0</v>
      </c>
      <c r="J34" s="63">
        <f>J66</f>
        <v>0</v>
      </c>
      <c r="K34" s="63">
        <f t="shared" ref="K34:AG34" si="68">K66</f>
        <v>0</v>
      </c>
      <c r="L34" s="63">
        <f t="shared" si="68"/>
        <v>2950.25</v>
      </c>
      <c r="M34" s="63">
        <f t="shared" si="68"/>
        <v>2950.25</v>
      </c>
      <c r="N34" s="63">
        <f t="shared" si="68"/>
        <v>2582.19</v>
      </c>
      <c r="O34" s="63">
        <f t="shared" si="68"/>
        <v>2582.19</v>
      </c>
      <c r="P34" s="63">
        <f t="shared" si="68"/>
        <v>2701.1570000000002</v>
      </c>
      <c r="Q34" s="63">
        <f t="shared" si="68"/>
        <v>2189.46</v>
      </c>
      <c r="R34" s="63">
        <f t="shared" si="68"/>
        <v>2562.4679999999998</v>
      </c>
      <c r="S34" s="63">
        <f t="shared" si="68"/>
        <v>0</v>
      </c>
      <c r="T34" s="63">
        <f t="shared" si="68"/>
        <v>3228.895</v>
      </c>
      <c r="U34" s="63">
        <f t="shared" si="68"/>
        <v>0</v>
      </c>
      <c r="V34" s="63">
        <f t="shared" si="68"/>
        <v>0</v>
      </c>
      <c r="W34" s="63">
        <f t="shared" si="68"/>
        <v>0</v>
      </c>
      <c r="X34" s="63">
        <f t="shared" si="68"/>
        <v>0</v>
      </c>
      <c r="Y34" s="63">
        <f t="shared" si="68"/>
        <v>0</v>
      </c>
      <c r="Z34" s="63">
        <f t="shared" si="68"/>
        <v>1758.44</v>
      </c>
      <c r="AA34" s="63">
        <f t="shared" si="68"/>
        <v>0</v>
      </c>
      <c r="AB34" s="63">
        <f t="shared" si="68"/>
        <v>3055.9409999999998</v>
      </c>
      <c r="AC34" s="63">
        <f t="shared" si="68"/>
        <v>0</v>
      </c>
      <c r="AD34" s="63">
        <f t="shared" si="68"/>
        <v>2831.2150000000001</v>
      </c>
      <c r="AE34" s="63">
        <f t="shared" si="68"/>
        <v>0</v>
      </c>
      <c r="AF34" s="63">
        <f t="shared" si="68"/>
        <v>2688.741</v>
      </c>
      <c r="AG34" s="63">
        <f t="shared" si="68"/>
        <v>0</v>
      </c>
      <c r="AH34" s="60"/>
      <c r="AI34" s="20"/>
    </row>
    <row r="35" spans="1:35" s="22" customFormat="1" ht="28.5" customHeight="1" x14ac:dyDescent="0.25">
      <c r="A35" s="380"/>
      <c r="B35" s="377"/>
      <c r="C35" s="126" t="s">
        <v>22</v>
      </c>
      <c r="D35" s="74">
        <f t="shared" si="64"/>
        <v>2618251.0929999999</v>
      </c>
      <c r="E35" s="74">
        <f t="shared" si="65"/>
        <v>206387.655</v>
      </c>
      <c r="F35" s="74">
        <f t="shared" si="66"/>
        <v>840674.35600000015</v>
      </c>
      <c r="G35" s="74">
        <f t="shared" si="67"/>
        <v>840674.35600000015</v>
      </c>
      <c r="H35" s="74">
        <f t="shared" si="61"/>
        <v>32.108240429941077</v>
      </c>
      <c r="I35" s="74">
        <f t="shared" si="62"/>
        <v>407.3278297580348</v>
      </c>
      <c r="J35" s="63">
        <f>J39+J67</f>
        <v>206387.655</v>
      </c>
      <c r="K35" s="63">
        <f t="shared" ref="K35:AG35" si="69">K39+K67</f>
        <v>44274.716</v>
      </c>
      <c r="L35" s="63">
        <f t="shared" si="69"/>
        <v>356087.23200000002</v>
      </c>
      <c r="M35" s="63">
        <f t="shared" si="69"/>
        <v>81316.7</v>
      </c>
      <c r="N35" s="63">
        <f t="shared" si="69"/>
        <v>281662.29600000003</v>
      </c>
      <c r="O35" s="63">
        <f t="shared" si="69"/>
        <v>368710.98000000004</v>
      </c>
      <c r="P35" s="63">
        <f t="shared" si="69"/>
        <v>244820.45600000001</v>
      </c>
      <c r="Q35" s="63">
        <f t="shared" si="69"/>
        <v>346371.96</v>
      </c>
      <c r="R35" s="63">
        <f t="shared" si="69"/>
        <v>383294.70999999996</v>
      </c>
      <c r="S35" s="63">
        <f t="shared" si="69"/>
        <v>0</v>
      </c>
      <c r="T35" s="63">
        <f t="shared" si="69"/>
        <v>221915.05199999997</v>
      </c>
      <c r="U35" s="63">
        <f t="shared" si="69"/>
        <v>0</v>
      </c>
      <c r="V35" s="63">
        <f t="shared" si="69"/>
        <v>125974.52100000001</v>
      </c>
      <c r="W35" s="63">
        <f t="shared" si="69"/>
        <v>0</v>
      </c>
      <c r="X35" s="63">
        <f t="shared" si="69"/>
        <v>98103.665999999997</v>
      </c>
      <c r="Y35" s="63">
        <f t="shared" si="69"/>
        <v>0</v>
      </c>
      <c r="Z35" s="63">
        <f t="shared" si="69"/>
        <v>143661.13699999999</v>
      </c>
      <c r="AA35" s="63">
        <f t="shared" si="69"/>
        <v>0</v>
      </c>
      <c r="AB35" s="63">
        <f t="shared" si="69"/>
        <v>146055.022</v>
      </c>
      <c r="AC35" s="63">
        <f t="shared" si="69"/>
        <v>0</v>
      </c>
      <c r="AD35" s="63">
        <f t="shared" si="69"/>
        <v>130488.723</v>
      </c>
      <c r="AE35" s="63">
        <f t="shared" si="69"/>
        <v>0</v>
      </c>
      <c r="AF35" s="63">
        <f t="shared" si="69"/>
        <v>279800.62300000002</v>
      </c>
      <c r="AG35" s="63">
        <f t="shared" si="69"/>
        <v>0</v>
      </c>
      <c r="AH35" s="60"/>
      <c r="AI35" s="20"/>
    </row>
    <row r="36" spans="1:35" s="26" customFormat="1" ht="45" customHeight="1" x14ac:dyDescent="0.25">
      <c r="A36" s="380"/>
      <c r="B36" s="377"/>
      <c r="C36" s="124" t="s">
        <v>21</v>
      </c>
      <c r="D36" s="74">
        <f>SUM(J36,L36,N36,P36,R36,T36,V36,X36,Z36,AB36,AD36,AF36)</f>
        <v>542436.59299999999</v>
      </c>
      <c r="E36" s="74">
        <f>J36</f>
        <v>68407.093999999997</v>
      </c>
      <c r="F36" s="74">
        <f>G36</f>
        <v>248181.03699999995</v>
      </c>
      <c r="G36" s="74">
        <f>SUM(K36,M36,O36,Q36,S36,U36,W36,Y36,AA36,AC36,AE36,AG36)</f>
        <v>248181.03699999995</v>
      </c>
      <c r="H36" s="74">
        <f>IFERROR(G36/D36*100,0)</f>
        <v>45.753004167253877</v>
      </c>
      <c r="I36" s="74">
        <f>IFERROR(G36/E36*100,0)</f>
        <v>362.80014613689036</v>
      </c>
      <c r="J36" s="67">
        <f>J40+J60+J68</f>
        <v>68407.093999999997</v>
      </c>
      <c r="K36" s="67">
        <f t="shared" ref="K36:AG36" si="70">K40+K60+K68</f>
        <v>67633.275999999998</v>
      </c>
      <c r="L36" s="67">
        <f t="shared" si="70"/>
        <v>66038.006999999998</v>
      </c>
      <c r="M36" s="67">
        <f t="shared" si="70"/>
        <v>64481.410999999993</v>
      </c>
      <c r="N36" s="67">
        <f t="shared" si="70"/>
        <v>60169.048999999999</v>
      </c>
      <c r="O36" s="67">
        <f t="shared" si="70"/>
        <v>60874.889999999992</v>
      </c>
      <c r="P36" s="67">
        <f t="shared" si="70"/>
        <v>54882.752999999997</v>
      </c>
      <c r="Q36" s="67">
        <f t="shared" si="70"/>
        <v>55191.46</v>
      </c>
      <c r="R36" s="67">
        <f t="shared" si="70"/>
        <v>53691.906000000003</v>
      </c>
      <c r="S36" s="67">
        <f t="shared" si="70"/>
        <v>0</v>
      </c>
      <c r="T36" s="67">
        <f t="shared" si="70"/>
        <v>41595.824999999997</v>
      </c>
      <c r="U36" s="67">
        <f t="shared" si="70"/>
        <v>0</v>
      </c>
      <c r="V36" s="67">
        <f t="shared" si="70"/>
        <v>36586.740000000005</v>
      </c>
      <c r="W36" s="67">
        <f t="shared" si="70"/>
        <v>0</v>
      </c>
      <c r="X36" s="67">
        <f t="shared" si="70"/>
        <v>27383.347000000002</v>
      </c>
      <c r="Y36" s="67">
        <f t="shared" si="70"/>
        <v>0</v>
      </c>
      <c r="Z36" s="67">
        <f t="shared" si="70"/>
        <v>32678.261999999999</v>
      </c>
      <c r="AA36" s="67">
        <f t="shared" si="70"/>
        <v>0</v>
      </c>
      <c r="AB36" s="67">
        <f t="shared" si="70"/>
        <v>36320.831999999995</v>
      </c>
      <c r="AC36" s="67">
        <f t="shared" si="70"/>
        <v>0</v>
      </c>
      <c r="AD36" s="67">
        <f t="shared" si="70"/>
        <v>32377.476999999999</v>
      </c>
      <c r="AE36" s="67">
        <f t="shared" si="70"/>
        <v>0</v>
      </c>
      <c r="AF36" s="67">
        <f t="shared" si="70"/>
        <v>32305.300999999999</v>
      </c>
      <c r="AG36" s="67">
        <f t="shared" si="70"/>
        <v>0</v>
      </c>
      <c r="AH36" s="72"/>
      <c r="AI36" s="24"/>
    </row>
    <row r="37" spans="1:35" s="26" customFormat="1" ht="31.5" customHeight="1" x14ac:dyDescent="0.25">
      <c r="A37" s="374"/>
      <c r="B37" s="377"/>
      <c r="C37" s="124" t="s">
        <v>114</v>
      </c>
      <c r="D37" s="74">
        <f>SUM(J37,L37,N37,P37,R37,T37,V37,X37,Z37,AB37,AD37,AF37)</f>
        <v>116994.898</v>
      </c>
      <c r="E37" s="74">
        <f>J37</f>
        <v>31362.18</v>
      </c>
      <c r="F37" s="74">
        <f>G37</f>
        <v>38776.167999999998</v>
      </c>
      <c r="G37" s="74">
        <f>SUM(K37,M37,O37,Q37,S37,U37,W37,Y37,AA37,AC37,AE37,AG37)</f>
        <v>38776.167999999998</v>
      </c>
      <c r="H37" s="74">
        <f>IFERROR(G37/D37*100,0)</f>
        <v>33.14346921350365</v>
      </c>
      <c r="I37" s="74">
        <f>IFERROR(G37/E37*100,0)</f>
        <v>123.63990003245947</v>
      </c>
      <c r="J37" s="67">
        <f>J41</f>
        <v>31362.18</v>
      </c>
      <c r="K37" s="67">
        <f>K41</f>
        <v>5718.9219999999996</v>
      </c>
      <c r="L37" s="67">
        <f t="shared" ref="L37:M37" si="71">L41</f>
        <v>13891.33</v>
      </c>
      <c r="M37" s="67">
        <f t="shared" si="71"/>
        <v>11215.286</v>
      </c>
      <c r="N37" s="67">
        <f t="shared" ref="N37:AG37" si="72">N41</f>
        <v>10899.261</v>
      </c>
      <c r="O37" s="67">
        <f t="shared" si="72"/>
        <v>11274.9</v>
      </c>
      <c r="P37" s="67">
        <f t="shared" si="72"/>
        <v>9704.4680000000008</v>
      </c>
      <c r="Q37" s="67">
        <f t="shared" si="72"/>
        <v>10567.06</v>
      </c>
      <c r="R37" s="67">
        <f t="shared" si="72"/>
        <v>8731.3529999999992</v>
      </c>
      <c r="S37" s="67">
        <f t="shared" si="72"/>
        <v>0</v>
      </c>
      <c r="T37" s="67">
        <f t="shared" si="72"/>
        <v>6506.6679999999997</v>
      </c>
      <c r="U37" s="67">
        <f t="shared" si="72"/>
        <v>0</v>
      </c>
      <c r="V37" s="67">
        <f t="shared" si="72"/>
        <v>6165.4719999999998</v>
      </c>
      <c r="W37" s="67">
        <f t="shared" si="72"/>
        <v>0</v>
      </c>
      <c r="X37" s="67">
        <f t="shared" si="72"/>
        <v>5972.3149999999996</v>
      </c>
      <c r="Y37" s="67">
        <f t="shared" si="72"/>
        <v>0</v>
      </c>
      <c r="Z37" s="67">
        <f t="shared" si="72"/>
        <v>5979.9309999999996</v>
      </c>
      <c r="AA37" s="67">
        <f t="shared" si="72"/>
        <v>0</v>
      </c>
      <c r="AB37" s="67">
        <f t="shared" si="72"/>
        <v>6884.62</v>
      </c>
      <c r="AC37" s="67">
        <f t="shared" si="72"/>
        <v>0</v>
      </c>
      <c r="AD37" s="67">
        <f t="shared" si="72"/>
        <v>5989.6809999999996</v>
      </c>
      <c r="AE37" s="67">
        <f t="shared" si="72"/>
        <v>0</v>
      </c>
      <c r="AF37" s="67">
        <f t="shared" si="72"/>
        <v>4907.6190000000024</v>
      </c>
      <c r="AG37" s="67">
        <f t="shared" si="72"/>
        <v>0</v>
      </c>
      <c r="AH37" s="72"/>
      <c r="AI37" s="24"/>
    </row>
    <row r="38" spans="1:35" s="22" customFormat="1" ht="37.5" customHeight="1" x14ac:dyDescent="0.25">
      <c r="A38" s="381"/>
      <c r="B38" s="389" t="s">
        <v>247</v>
      </c>
      <c r="C38" s="125" t="s">
        <v>20</v>
      </c>
      <c r="D38" s="70">
        <f>D41+D40</f>
        <v>619811.89400000009</v>
      </c>
      <c r="E38" s="58">
        <f t="shared" ref="E38:G38" si="73">E41+E40</f>
        <v>97073.19200000001</v>
      </c>
      <c r="F38" s="58">
        <f t="shared" si="73"/>
        <v>271540.66899999999</v>
      </c>
      <c r="G38" s="58">
        <f t="shared" si="73"/>
        <v>271540.66899999999</v>
      </c>
      <c r="H38" s="58">
        <f t="shared" ref="H38" si="74">IFERROR(G38/D38*100,0)</f>
        <v>43.810173962231183</v>
      </c>
      <c r="I38" s="58">
        <f t="shared" ref="I38" si="75">IFERROR(G38/E38*100,0)</f>
        <v>279.72776356215832</v>
      </c>
      <c r="J38" s="59">
        <f>J41+J40</f>
        <v>97073.19200000001</v>
      </c>
      <c r="K38" s="59">
        <f t="shared" ref="K38:AG38" si="76">K41+K40</f>
        <v>71429.932000000001</v>
      </c>
      <c r="L38" s="59">
        <f t="shared" si="76"/>
        <v>75005.451000000001</v>
      </c>
      <c r="M38" s="59">
        <f t="shared" si="76"/>
        <v>70823.536999999997</v>
      </c>
      <c r="N38" s="59">
        <f t="shared" si="76"/>
        <v>67103.057000000001</v>
      </c>
      <c r="O38" s="59">
        <f t="shared" si="76"/>
        <v>67485</v>
      </c>
      <c r="P38" s="59">
        <f t="shared" si="76"/>
        <v>60190.091</v>
      </c>
      <c r="Q38" s="59">
        <f t="shared" si="76"/>
        <v>61802.2</v>
      </c>
      <c r="R38" s="59">
        <f t="shared" si="76"/>
        <v>58358.153999999995</v>
      </c>
      <c r="S38" s="59">
        <f t="shared" si="76"/>
        <v>0</v>
      </c>
      <c r="T38" s="59">
        <f t="shared" si="76"/>
        <v>46785.954999999994</v>
      </c>
      <c r="U38" s="59">
        <f t="shared" si="76"/>
        <v>0</v>
      </c>
      <c r="V38" s="59">
        <f t="shared" si="76"/>
        <v>42659.302000000003</v>
      </c>
      <c r="W38" s="59">
        <f t="shared" si="76"/>
        <v>0</v>
      </c>
      <c r="X38" s="59">
        <f t="shared" si="76"/>
        <v>33328.752</v>
      </c>
      <c r="Y38" s="59">
        <f t="shared" si="76"/>
        <v>0</v>
      </c>
      <c r="Z38" s="59">
        <f t="shared" si="76"/>
        <v>35823.358</v>
      </c>
      <c r="AA38" s="59">
        <f t="shared" si="76"/>
        <v>0</v>
      </c>
      <c r="AB38" s="59">
        <f t="shared" si="76"/>
        <v>38653.220999999998</v>
      </c>
      <c r="AC38" s="59">
        <f t="shared" si="76"/>
        <v>0</v>
      </c>
      <c r="AD38" s="59">
        <f t="shared" si="76"/>
        <v>34208.644</v>
      </c>
      <c r="AE38" s="59">
        <f t="shared" si="76"/>
        <v>0</v>
      </c>
      <c r="AF38" s="59">
        <f t="shared" si="76"/>
        <v>30622.717000000004</v>
      </c>
      <c r="AG38" s="59">
        <f t="shared" si="76"/>
        <v>0</v>
      </c>
      <c r="AH38" s="60"/>
      <c r="AI38" s="20"/>
    </row>
    <row r="39" spans="1:35" s="22" customFormat="1" ht="39.75" customHeight="1" x14ac:dyDescent="0.25">
      <c r="A39" s="382"/>
      <c r="B39" s="390"/>
      <c r="C39" s="126" t="s">
        <v>22</v>
      </c>
      <c r="D39" s="74">
        <f>SUM(J39,L39,N39,P39,R39,T39,V39,X39,Z39,AB39,AD39,AF39)</f>
        <v>2439801.3939999994</v>
      </c>
      <c r="E39" s="62">
        <f>J39</f>
        <v>195560.851</v>
      </c>
      <c r="F39" s="62">
        <f>G39</f>
        <v>764163.91599999997</v>
      </c>
      <c r="G39" s="62">
        <f>SUM(K39,M39,O39,Q39,S39,U39,W39,Y39,AA39,AC39,AE39,AG39)</f>
        <v>764163.91599999997</v>
      </c>
      <c r="H39" s="62">
        <f>IFERROR(G39/D39*100,0)</f>
        <v>31.320742658777256</v>
      </c>
      <c r="I39" s="62">
        <f>IFERROR(G39/E39*100,0)</f>
        <v>390.75505761631194</v>
      </c>
      <c r="J39" s="63">
        <f>J47+J49+J51+J54+J56+J44</f>
        <v>195560.851</v>
      </c>
      <c r="K39" s="63">
        <f t="shared" ref="K39:AG39" si="77">K47+K49+K51+K54+K56</f>
        <v>39229.65</v>
      </c>
      <c r="L39" s="63">
        <f t="shared" si="77"/>
        <v>332116.91800000001</v>
      </c>
      <c r="M39" s="63">
        <f t="shared" si="77"/>
        <v>54997.305999999997</v>
      </c>
      <c r="N39" s="63">
        <f t="shared" si="77"/>
        <v>253332.861</v>
      </c>
      <c r="O39" s="63">
        <f t="shared" si="77"/>
        <v>337346.52</v>
      </c>
      <c r="P39" s="63">
        <f t="shared" si="77"/>
        <v>224573.44</v>
      </c>
      <c r="Q39" s="63">
        <f>Q47+Q49+Q51+Q54+Q56</f>
        <v>332590.44</v>
      </c>
      <c r="R39" s="63">
        <f t="shared" si="77"/>
        <v>362494.51799999998</v>
      </c>
      <c r="S39" s="63">
        <f t="shared" si="77"/>
        <v>0</v>
      </c>
      <c r="T39" s="63">
        <f t="shared" si="77"/>
        <v>215396.68099999998</v>
      </c>
      <c r="U39" s="63">
        <f t="shared" si="77"/>
        <v>0</v>
      </c>
      <c r="V39" s="63">
        <f t="shared" si="77"/>
        <v>125974.52100000001</v>
      </c>
      <c r="W39" s="63">
        <f t="shared" si="77"/>
        <v>0</v>
      </c>
      <c r="X39" s="63">
        <f t="shared" si="77"/>
        <v>98103.665999999997</v>
      </c>
      <c r="Y39" s="63">
        <f t="shared" si="77"/>
        <v>0</v>
      </c>
      <c r="Z39" s="63">
        <f t="shared" si="77"/>
        <v>131912.166</v>
      </c>
      <c r="AA39" s="63">
        <f t="shared" si="77"/>
        <v>0</v>
      </c>
      <c r="AB39" s="63">
        <f t="shared" si="77"/>
        <v>125310.558</v>
      </c>
      <c r="AC39" s="63">
        <f t="shared" si="77"/>
        <v>0</v>
      </c>
      <c r="AD39" s="63">
        <f t="shared" si="77"/>
        <v>110450.681</v>
      </c>
      <c r="AE39" s="63">
        <f t="shared" si="77"/>
        <v>0</v>
      </c>
      <c r="AF39" s="63">
        <f t="shared" si="77"/>
        <v>264574.533</v>
      </c>
      <c r="AG39" s="63">
        <f t="shared" si="77"/>
        <v>0</v>
      </c>
      <c r="AH39" s="60"/>
      <c r="AI39" s="20"/>
    </row>
    <row r="40" spans="1:35" s="22" customFormat="1" ht="42.75" customHeight="1" x14ac:dyDescent="0.25">
      <c r="A40" s="382"/>
      <c r="B40" s="390"/>
      <c r="C40" s="126" t="s">
        <v>21</v>
      </c>
      <c r="D40" s="74">
        <f>SUM(J40,L40,N40,P40,R40,T40,V40,X40,Z40,AB40,AD40,AF40)</f>
        <v>502816.99600000004</v>
      </c>
      <c r="E40" s="62">
        <f>J40</f>
        <v>65711.012000000002</v>
      </c>
      <c r="F40" s="62">
        <f>G40</f>
        <v>232764.50099999999</v>
      </c>
      <c r="G40" s="62">
        <f>SUM(K40,M40,O40,Q40,S40,U40,W40,Y40,AA40,AC40,AE40,AG40)</f>
        <v>232764.50099999999</v>
      </c>
      <c r="H40" s="62">
        <f>IFERROR(G40/D40*100,0)</f>
        <v>46.292090930036892</v>
      </c>
      <c r="I40" s="62">
        <f>IFERROR(G40/E40*100,0)</f>
        <v>354.22449588814732</v>
      </c>
      <c r="J40" s="63">
        <f>J43+J57</f>
        <v>65711.012000000002</v>
      </c>
      <c r="K40" s="63">
        <f t="shared" ref="K40:AG40" si="78">K43+K57</f>
        <v>65711.009999999995</v>
      </c>
      <c r="L40" s="63">
        <f t="shared" si="78"/>
        <v>61114.120999999999</v>
      </c>
      <c r="M40" s="63">
        <f t="shared" si="78"/>
        <v>59608.250999999997</v>
      </c>
      <c r="N40" s="63">
        <f t="shared" si="78"/>
        <v>56203.796000000002</v>
      </c>
      <c r="O40" s="63">
        <f t="shared" si="78"/>
        <v>56210.1</v>
      </c>
      <c r="P40" s="63">
        <f t="shared" si="78"/>
        <v>50485.623</v>
      </c>
      <c r="Q40" s="63">
        <f t="shared" si="78"/>
        <v>51235.14</v>
      </c>
      <c r="R40" s="63">
        <f t="shared" si="78"/>
        <v>49626.800999999999</v>
      </c>
      <c r="S40" s="63">
        <f t="shared" si="78"/>
        <v>0</v>
      </c>
      <c r="T40" s="63">
        <f t="shared" si="78"/>
        <v>40279.286999999997</v>
      </c>
      <c r="U40" s="63">
        <f t="shared" si="78"/>
        <v>0</v>
      </c>
      <c r="V40" s="63">
        <f t="shared" si="78"/>
        <v>36493.83</v>
      </c>
      <c r="W40" s="63">
        <f t="shared" si="78"/>
        <v>0</v>
      </c>
      <c r="X40" s="63">
        <f t="shared" si="78"/>
        <v>27356.437000000002</v>
      </c>
      <c r="Y40" s="63">
        <f t="shared" si="78"/>
        <v>0</v>
      </c>
      <c r="Z40" s="63">
        <f t="shared" si="78"/>
        <v>29843.427</v>
      </c>
      <c r="AA40" s="63">
        <f t="shared" si="78"/>
        <v>0</v>
      </c>
      <c r="AB40" s="63">
        <f t="shared" si="78"/>
        <v>31768.600999999999</v>
      </c>
      <c r="AC40" s="63">
        <f t="shared" si="78"/>
        <v>0</v>
      </c>
      <c r="AD40" s="63">
        <f t="shared" si="78"/>
        <v>28218.963</v>
      </c>
      <c r="AE40" s="63">
        <f t="shared" si="78"/>
        <v>0</v>
      </c>
      <c r="AF40" s="63">
        <f t="shared" si="78"/>
        <v>25715.098000000002</v>
      </c>
      <c r="AG40" s="63">
        <f t="shared" si="78"/>
        <v>0</v>
      </c>
      <c r="AH40" s="60"/>
      <c r="AI40" s="20"/>
    </row>
    <row r="41" spans="1:35" s="22" customFormat="1" ht="37.5" customHeight="1" x14ac:dyDescent="0.25">
      <c r="A41" s="383"/>
      <c r="B41" s="390"/>
      <c r="C41" s="126" t="s">
        <v>114</v>
      </c>
      <c r="D41" s="74">
        <f>SUM(J41,L41,N41,P41,R41,T41,V41,X41,Z41,AB41,AD41,AF41)</f>
        <v>116994.898</v>
      </c>
      <c r="E41" s="62">
        <f>J41</f>
        <v>31362.18</v>
      </c>
      <c r="F41" s="62">
        <f>G41</f>
        <v>38776.167999999998</v>
      </c>
      <c r="G41" s="62">
        <f>SUM(K41,M41,O41,Q41,S41,U41,W41,Y41,AA41,AC41,AE41,AG41)</f>
        <v>38776.167999999998</v>
      </c>
      <c r="H41" s="62">
        <f>IFERROR(G41/D41*100,0)</f>
        <v>33.14346921350365</v>
      </c>
      <c r="I41" s="62">
        <f>IFERROR(G41/E41*100,0)</f>
        <v>123.63990003245947</v>
      </c>
      <c r="J41" s="63">
        <f>J45</f>
        <v>31362.18</v>
      </c>
      <c r="K41" s="63">
        <f t="shared" ref="K41:AG41" si="79">K45</f>
        <v>5718.9219999999996</v>
      </c>
      <c r="L41" s="63">
        <f t="shared" si="79"/>
        <v>13891.33</v>
      </c>
      <c r="M41" s="63">
        <f t="shared" si="79"/>
        <v>11215.286</v>
      </c>
      <c r="N41" s="63">
        <f t="shared" si="79"/>
        <v>10899.261</v>
      </c>
      <c r="O41" s="63">
        <f t="shared" si="79"/>
        <v>11274.9</v>
      </c>
      <c r="P41" s="63">
        <f t="shared" si="79"/>
        <v>9704.4680000000008</v>
      </c>
      <c r="Q41" s="63">
        <f t="shared" si="79"/>
        <v>10567.06</v>
      </c>
      <c r="R41" s="63">
        <f t="shared" si="79"/>
        <v>8731.3529999999992</v>
      </c>
      <c r="S41" s="63">
        <f t="shared" si="79"/>
        <v>0</v>
      </c>
      <c r="T41" s="63">
        <f t="shared" si="79"/>
        <v>6506.6679999999997</v>
      </c>
      <c r="U41" s="63">
        <f t="shared" si="79"/>
        <v>0</v>
      </c>
      <c r="V41" s="63">
        <f t="shared" si="79"/>
        <v>6165.4719999999998</v>
      </c>
      <c r="W41" s="63">
        <f t="shared" si="79"/>
        <v>0</v>
      </c>
      <c r="X41" s="63">
        <f t="shared" si="79"/>
        <v>5972.3149999999996</v>
      </c>
      <c r="Y41" s="63">
        <f t="shared" si="79"/>
        <v>0</v>
      </c>
      <c r="Z41" s="63">
        <f t="shared" si="79"/>
        <v>5979.9309999999996</v>
      </c>
      <c r="AA41" s="63">
        <f t="shared" si="79"/>
        <v>0</v>
      </c>
      <c r="AB41" s="63">
        <f t="shared" si="79"/>
        <v>6884.62</v>
      </c>
      <c r="AC41" s="63">
        <f t="shared" si="79"/>
        <v>0</v>
      </c>
      <c r="AD41" s="63">
        <f t="shared" si="79"/>
        <v>5989.6809999999996</v>
      </c>
      <c r="AE41" s="63">
        <f t="shared" si="79"/>
        <v>0</v>
      </c>
      <c r="AF41" s="63">
        <f t="shared" si="79"/>
        <v>4907.6190000000024</v>
      </c>
      <c r="AG41" s="63">
        <f t="shared" si="79"/>
        <v>0</v>
      </c>
      <c r="AH41" s="60"/>
      <c r="AI41" s="20"/>
    </row>
    <row r="42" spans="1:35" s="22" customFormat="1" ht="23.25" customHeight="1" x14ac:dyDescent="0.25">
      <c r="A42" s="392"/>
      <c r="B42" s="395" t="s">
        <v>248</v>
      </c>
      <c r="C42" s="126" t="s">
        <v>20</v>
      </c>
      <c r="D42" s="74">
        <f>D45+D43+D44</f>
        <v>618993.49400000006</v>
      </c>
      <c r="E42" s="74">
        <f>E45+E43+E44</f>
        <v>299709.79099999997</v>
      </c>
      <c r="F42" s="74">
        <f t="shared" ref="F42:H42" si="80">F45+F43+F44</f>
        <v>271648.66899999999</v>
      </c>
      <c r="G42" s="74">
        <f t="shared" si="80"/>
        <v>271648.66899999999</v>
      </c>
      <c r="H42" s="74">
        <f t="shared" si="80"/>
        <v>111.49493280912571</v>
      </c>
      <c r="I42" s="74">
        <f>I45+I43+I44</f>
        <v>190.51058968151202</v>
      </c>
      <c r="J42" s="74">
        <f t="shared" ref="J42" si="81">J45+J43+J44</f>
        <v>97073.19200000001</v>
      </c>
      <c r="K42" s="63">
        <f t="shared" ref="K42:AG42" si="82">K45+K43</f>
        <v>71429.932000000001</v>
      </c>
      <c r="L42" s="63">
        <f t="shared" si="82"/>
        <v>75005.451000000001</v>
      </c>
      <c r="M42" s="63">
        <f t="shared" si="82"/>
        <v>70823.536999999997</v>
      </c>
      <c r="N42" s="63">
        <f t="shared" si="82"/>
        <v>67103.057000000001</v>
      </c>
      <c r="O42" s="63">
        <f t="shared" si="82"/>
        <v>67485</v>
      </c>
      <c r="P42" s="63">
        <f t="shared" si="82"/>
        <v>60190.091</v>
      </c>
      <c r="Q42" s="63">
        <f t="shared" si="82"/>
        <v>61802.2</v>
      </c>
      <c r="R42" s="63">
        <f t="shared" si="82"/>
        <v>58358.153999999995</v>
      </c>
      <c r="S42" s="63">
        <f t="shared" si="82"/>
        <v>0</v>
      </c>
      <c r="T42" s="63">
        <f t="shared" si="82"/>
        <v>46785.954999999994</v>
      </c>
      <c r="U42" s="63">
        <f t="shared" si="82"/>
        <v>0</v>
      </c>
      <c r="V42" s="63">
        <f t="shared" si="82"/>
        <v>42659.302000000003</v>
      </c>
      <c r="W42" s="63">
        <f t="shared" si="82"/>
        <v>0</v>
      </c>
      <c r="X42" s="63">
        <f t="shared" si="82"/>
        <v>33328.752</v>
      </c>
      <c r="Y42" s="63">
        <f t="shared" si="82"/>
        <v>0</v>
      </c>
      <c r="Z42" s="63">
        <f t="shared" si="82"/>
        <v>35823.358</v>
      </c>
      <c r="AA42" s="63">
        <f t="shared" si="82"/>
        <v>0</v>
      </c>
      <c r="AB42" s="63">
        <f t="shared" si="82"/>
        <v>38653.220999999998</v>
      </c>
      <c r="AC42" s="63">
        <f t="shared" si="82"/>
        <v>0</v>
      </c>
      <c r="AD42" s="63">
        <f t="shared" si="82"/>
        <v>34208.644</v>
      </c>
      <c r="AE42" s="63">
        <f t="shared" si="82"/>
        <v>0</v>
      </c>
      <c r="AF42" s="63">
        <f t="shared" si="82"/>
        <v>29466.317000000003</v>
      </c>
      <c r="AG42" s="63">
        <f t="shared" si="82"/>
        <v>0</v>
      </c>
      <c r="AH42" s="64"/>
      <c r="AI42" s="20"/>
    </row>
    <row r="43" spans="1:35" s="22" customFormat="1" ht="33.75" customHeight="1" x14ac:dyDescent="0.25">
      <c r="A43" s="393"/>
      <c r="B43" s="396"/>
      <c r="C43" s="126" t="s">
        <v>21</v>
      </c>
      <c r="D43" s="74">
        <f>SUM(J43,L43,N43,P43,R43,T43,V43,X43,Z43,AB43,AD43,AF43)</f>
        <v>501660.59600000002</v>
      </c>
      <c r="E43" s="62">
        <f>J43+L43+N43+P43</f>
        <v>233514.552</v>
      </c>
      <c r="F43" s="62">
        <f>G43</f>
        <v>232764.50099999999</v>
      </c>
      <c r="G43" s="62">
        <f>SUM(K43,M43,O43,Q43,S43,U43,W43,Y43,AA43,AC43,AE43,AG43)</f>
        <v>232764.50099999999</v>
      </c>
      <c r="H43" s="62">
        <f>IFERROR(G43/D43*100,0)</f>
        <v>46.398800873728575</v>
      </c>
      <c r="I43" s="62">
        <f>IFERROR(G43/E43*100,0)</f>
        <v>99.678799032618741</v>
      </c>
      <c r="J43" s="63">
        <v>65711.012000000002</v>
      </c>
      <c r="K43" s="63">
        <v>65711.009999999995</v>
      </c>
      <c r="L43" s="63">
        <f>105.68+61008.441</f>
        <v>61114.120999999999</v>
      </c>
      <c r="M43" s="63">
        <v>59608.250999999997</v>
      </c>
      <c r="N43" s="63">
        <v>56203.796000000002</v>
      </c>
      <c r="O43" s="63">
        <v>56210.1</v>
      </c>
      <c r="P43" s="63">
        <f>2178.32+48307.303</f>
        <v>50485.623</v>
      </c>
      <c r="Q43" s="63">
        <v>51235.14</v>
      </c>
      <c r="R43" s="63">
        <f>49626.801</f>
        <v>49626.800999999999</v>
      </c>
      <c r="S43" s="63">
        <v>0</v>
      </c>
      <c r="T43" s="63">
        <v>40279.286999999997</v>
      </c>
      <c r="U43" s="63">
        <v>0</v>
      </c>
      <c r="V43" s="63">
        <v>36493.83</v>
      </c>
      <c r="W43" s="63">
        <v>0</v>
      </c>
      <c r="X43" s="63">
        <v>27356.437000000002</v>
      </c>
      <c r="Y43" s="63">
        <v>0</v>
      </c>
      <c r="Z43" s="63">
        <v>29843.427</v>
      </c>
      <c r="AA43" s="63">
        <v>0</v>
      </c>
      <c r="AB43" s="63">
        <v>31768.600999999999</v>
      </c>
      <c r="AC43" s="63">
        <v>0</v>
      </c>
      <c r="AD43" s="63">
        <v>28218.963</v>
      </c>
      <c r="AE43" s="63">
        <v>0</v>
      </c>
      <c r="AF43" s="63">
        <f>26784.398-2225.7</f>
        <v>24558.698</v>
      </c>
      <c r="AG43" s="63">
        <v>0</v>
      </c>
      <c r="AH43" s="64"/>
      <c r="AI43" s="20"/>
    </row>
    <row r="44" spans="1:35" s="22" customFormat="1" ht="33.75" customHeight="1" x14ac:dyDescent="0.25">
      <c r="A44" s="393"/>
      <c r="B44" s="396"/>
      <c r="C44" s="126" t="s">
        <v>22</v>
      </c>
      <c r="D44" s="74">
        <f>SUM(J44,L44,N44,P44,R44,T44,V44,X44,Z44,AB44,AD44,AF44)</f>
        <v>338</v>
      </c>
      <c r="E44" s="62">
        <f t="shared" ref="E44" si="83">J44+L44+N44+P44</f>
        <v>338</v>
      </c>
      <c r="F44" s="62">
        <f>G44</f>
        <v>108</v>
      </c>
      <c r="G44" s="62">
        <f>SUM(K44,M44,O44,Q44,S44,U44,W44,Y44,AA44,AC44,AE44,AG44)</f>
        <v>108</v>
      </c>
      <c r="H44" s="62">
        <f>IFERROR(G44/D44*100,0)</f>
        <v>31.952662721893493</v>
      </c>
      <c r="I44" s="62">
        <f>IFERROR(G44/E44*100,0)</f>
        <v>31.952662721893493</v>
      </c>
      <c r="J44" s="63"/>
      <c r="K44" s="63"/>
      <c r="L44" s="63"/>
      <c r="M44" s="63"/>
      <c r="N44" s="63">
        <v>338</v>
      </c>
      <c r="O44" s="63">
        <v>108</v>
      </c>
      <c r="P44" s="63"/>
      <c r="Q44" s="63"/>
      <c r="R44" s="63"/>
      <c r="S44" s="63"/>
      <c r="T44" s="63"/>
      <c r="U44" s="63"/>
      <c r="V44" s="63"/>
      <c r="W44" s="63"/>
      <c r="X44" s="63"/>
      <c r="Y44" s="63"/>
      <c r="Z44" s="63"/>
      <c r="AA44" s="63"/>
      <c r="AB44" s="63"/>
      <c r="AC44" s="63"/>
      <c r="AD44" s="63"/>
      <c r="AE44" s="63"/>
      <c r="AF44" s="63"/>
      <c r="AG44" s="63"/>
      <c r="AH44" s="64"/>
      <c r="AI44" s="20"/>
    </row>
    <row r="45" spans="1:35" s="22" customFormat="1" ht="28.5" customHeight="1" x14ac:dyDescent="0.25">
      <c r="A45" s="394"/>
      <c r="B45" s="397"/>
      <c r="C45" s="126" t="s">
        <v>114</v>
      </c>
      <c r="D45" s="74">
        <f>SUM(J45,L45,N45,P45,R45,T45,V45,X45,Z45,AB45,AD45,AF45)</f>
        <v>116994.898</v>
      </c>
      <c r="E45" s="62">
        <f>J45+L45+N45+P45</f>
        <v>65857.239000000001</v>
      </c>
      <c r="F45" s="62">
        <f>G45</f>
        <v>38776.167999999998</v>
      </c>
      <c r="G45" s="62">
        <f>SUM(K45,M45,O45,Q45,S45,U45,W45,Y45,AA45,AC45,AE45,AG45)</f>
        <v>38776.167999999998</v>
      </c>
      <c r="H45" s="62">
        <f>IFERROR(G45/D45*100,0)</f>
        <v>33.14346921350365</v>
      </c>
      <c r="I45" s="62">
        <f>IFERROR(G45/E45*100,0)</f>
        <v>58.879127926999786</v>
      </c>
      <c r="J45" s="63">
        <v>31362.18</v>
      </c>
      <c r="K45" s="63">
        <v>5718.9219999999996</v>
      </c>
      <c r="L45" s="63">
        <v>13891.33</v>
      </c>
      <c r="M45" s="63">
        <v>11215.286</v>
      </c>
      <c r="N45" s="63">
        <v>10899.261</v>
      </c>
      <c r="O45" s="63">
        <v>11274.9</v>
      </c>
      <c r="P45" s="63">
        <v>9704.4680000000008</v>
      </c>
      <c r="Q45" s="63">
        <v>10567.06</v>
      </c>
      <c r="R45" s="63">
        <v>8731.3529999999992</v>
      </c>
      <c r="S45" s="63">
        <v>0</v>
      </c>
      <c r="T45" s="63">
        <v>6506.6679999999997</v>
      </c>
      <c r="U45" s="63">
        <v>0</v>
      </c>
      <c r="V45" s="63">
        <v>6165.4719999999998</v>
      </c>
      <c r="W45" s="63">
        <v>0</v>
      </c>
      <c r="X45" s="63">
        <v>5972.3149999999996</v>
      </c>
      <c r="Y45" s="63">
        <v>0</v>
      </c>
      <c r="Z45" s="63">
        <v>5979.9309999999996</v>
      </c>
      <c r="AA45" s="63">
        <v>0</v>
      </c>
      <c r="AB45" s="63">
        <v>6884.62</v>
      </c>
      <c r="AC45" s="63">
        <v>0</v>
      </c>
      <c r="AD45" s="63">
        <v>5989.6809999999996</v>
      </c>
      <c r="AE45" s="63">
        <v>0</v>
      </c>
      <c r="AF45" s="63">
        <f>22562.669-17655.05</f>
        <v>4907.6190000000024</v>
      </c>
      <c r="AG45" s="63">
        <v>0</v>
      </c>
      <c r="AH45" s="64"/>
      <c r="AI45" s="20"/>
    </row>
    <row r="46" spans="1:35" s="22" customFormat="1" ht="77.25" customHeight="1" x14ac:dyDescent="0.25">
      <c r="A46" s="155"/>
      <c r="B46" s="391" t="s">
        <v>249</v>
      </c>
      <c r="C46" s="126" t="s">
        <v>20</v>
      </c>
      <c r="D46" s="74">
        <f t="shared" ref="D46:E46" si="84">D47</f>
        <v>2337219.0960000004</v>
      </c>
      <c r="E46" s="62">
        <f t="shared" si="84"/>
        <v>960705.06400000001</v>
      </c>
      <c r="F46" s="62">
        <f t="shared" ref="F46:F49" si="85">G46</f>
        <v>719262.995</v>
      </c>
      <c r="G46" s="62">
        <f>G47</f>
        <v>719262.995</v>
      </c>
      <c r="H46" s="62">
        <f t="shared" ref="H46:H50" si="86">IFERROR(G46/D46*100,0)</f>
        <v>30.774307647536002</v>
      </c>
      <c r="I46" s="62">
        <f t="shared" ref="I46:I50" si="87">IFERROR(G46/E46*100,0)</f>
        <v>74.868242289186057</v>
      </c>
      <c r="J46" s="62">
        <f t="shared" ref="J46:AG46" si="88">J47</f>
        <v>189901.766</v>
      </c>
      <c r="K46" s="62">
        <f t="shared" si="88"/>
        <v>38211.910000000003</v>
      </c>
      <c r="L46" s="62">
        <f t="shared" si="88"/>
        <v>316255.65000000002</v>
      </c>
      <c r="M46" s="62">
        <f t="shared" si="88"/>
        <v>40344.345000000001</v>
      </c>
      <c r="N46" s="62">
        <f t="shared" si="88"/>
        <v>242332.639</v>
      </c>
      <c r="O46" s="62">
        <f t="shared" si="88"/>
        <v>325347.32</v>
      </c>
      <c r="P46" s="62">
        <f t="shared" si="88"/>
        <v>212215.00899999999</v>
      </c>
      <c r="Q46" s="62">
        <f t="shared" si="88"/>
        <v>315359.42</v>
      </c>
      <c r="R46" s="62">
        <f t="shared" si="88"/>
        <v>356506.087</v>
      </c>
      <c r="S46" s="62">
        <f t="shared" si="88"/>
        <v>0</v>
      </c>
      <c r="T46" s="62">
        <f t="shared" si="88"/>
        <v>210618.63699999999</v>
      </c>
      <c r="U46" s="62">
        <f t="shared" si="88"/>
        <v>0</v>
      </c>
      <c r="V46" s="62">
        <f t="shared" si="88"/>
        <v>122384.175</v>
      </c>
      <c r="W46" s="62">
        <f t="shared" si="88"/>
        <v>0</v>
      </c>
      <c r="X46" s="62">
        <f t="shared" si="88"/>
        <v>95421.072</v>
      </c>
      <c r="Y46" s="62">
        <f t="shared" si="88"/>
        <v>0</v>
      </c>
      <c r="Z46" s="62">
        <f t="shared" si="88"/>
        <v>130036.44100000001</v>
      </c>
      <c r="AA46" s="62">
        <f t="shared" si="88"/>
        <v>0</v>
      </c>
      <c r="AB46" s="62">
        <f t="shared" si="88"/>
        <v>123715.728</v>
      </c>
      <c r="AC46" s="62">
        <f t="shared" si="88"/>
        <v>0</v>
      </c>
      <c r="AD46" s="62">
        <f t="shared" si="88"/>
        <v>109478.251</v>
      </c>
      <c r="AE46" s="62">
        <f t="shared" si="88"/>
        <v>0</v>
      </c>
      <c r="AF46" s="62">
        <f t="shared" si="88"/>
        <v>228353.641</v>
      </c>
      <c r="AG46" s="62">
        <f t="shared" si="88"/>
        <v>0</v>
      </c>
      <c r="AH46" s="64"/>
      <c r="AI46" s="20"/>
    </row>
    <row r="47" spans="1:35" s="22" customFormat="1" ht="71.25" customHeight="1" x14ac:dyDescent="0.25">
      <c r="A47" s="155"/>
      <c r="B47" s="391"/>
      <c r="C47" s="126" t="s">
        <v>22</v>
      </c>
      <c r="D47" s="74">
        <f t="shared" ref="D47" si="89">SUM(J47,L47,N47,P47,R47,T47,V47,X47,Z47,AB47,AD47,AF47)</f>
        <v>2337219.0960000004</v>
      </c>
      <c r="E47" s="62">
        <f>J47+L47+N47+P47</f>
        <v>960705.06400000001</v>
      </c>
      <c r="F47" s="62">
        <f>G47</f>
        <v>719262.995</v>
      </c>
      <c r="G47" s="62">
        <f>SUM(K47,M47,O47,Q47,S47,U47,W47,Y47,AA47,AC47,AE47,AG47)</f>
        <v>719262.995</v>
      </c>
      <c r="H47" s="62">
        <f t="shared" si="86"/>
        <v>30.774307647536002</v>
      </c>
      <c r="I47" s="62">
        <f t="shared" si="87"/>
        <v>74.868242289186057</v>
      </c>
      <c r="J47" s="63">
        <v>189901.766</v>
      </c>
      <c r="K47" s="63">
        <v>38211.910000000003</v>
      </c>
      <c r="L47" s="63">
        <v>316255.65000000002</v>
      </c>
      <c r="M47" s="63">
        <v>40344.345000000001</v>
      </c>
      <c r="N47" s="63">
        <v>242332.639</v>
      </c>
      <c r="O47" s="63">
        <v>325347.32</v>
      </c>
      <c r="P47" s="63">
        <v>212215.00899999999</v>
      </c>
      <c r="Q47" s="63">
        <v>315359.42</v>
      </c>
      <c r="R47" s="63">
        <v>356506.087</v>
      </c>
      <c r="S47" s="63">
        <v>0</v>
      </c>
      <c r="T47" s="63">
        <v>210618.63699999999</v>
      </c>
      <c r="U47" s="63">
        <v>0</v>
      </c>
      <c r="V47" s="63">
        <v>122384.175</v>
      </c>
      <c r="W47" s="63">
        <v>0</v>
      </c>
      <c r="X47" s="63">
        <v>95421.072</v>
      </c>
      <c r="Y47" s="63">
        <v>0</v>
      </c>
      <c r="Z47" s="63">
        <v>130036.44100000001</v>
      </c>
      <c r="AA47" s="63">
        <v>0</v>
      </c>
      <c r="AB47" s="63">
        <v>123715.728</v>
      </c>
      <c r="AC47" s="63">
        <v>0</v>
      </c>
      <c r="AD47" s="63">
        <v>109478.251</v>
      </c>
      <c r="AE47" s="63">
        <v>0</v>
      </c>
      <c r="AF47" s="63">
        <v>228353.641</v>
      </c>
      <c r="AG47" s="63">
        <v>0</v>
      </c>
      <c r="AH47" s="64"/>
      <c r="AI47" s="20"/>
    </row>
    <row r="48" spans="1:35" s="22" customFormat="1" ht="62.25" customHeight="1" x14ac:dyDescent="0.25">
      <c r="A48" s="155"/>
      <c r="B48" s="391" t="s">
        <v>250</v>
      </c>
      <c r="C48" s="126" t="s">
        <v>20</v>
      </c>
      <c r="D48" s="74">
        <f t="shared" ref="D48:E48" si="90">D49</f>
        <v>37412.998</v>
      </c>
      <c r="E48" s="62">
        <f t="shared" si="90"/>
        <v>19859.005999999998</v>
      </c>
      <c r="F48" s="62">
        <f t="shared" si="85"/>
        <v>20806.397000000001</v>
      </c>
      <c r="G48" s="62">
        <f>G49</f>
        <v>20806.397000000001</v>
      </c>
      <c r="H48" s="62">
        <f t="shared" si="86"/>
        <v>55.612749879066094</v>
      </c>
      <c r="I48" s="62">
        <f t="shared" si="87"/>
        <v>104.77058620154504</v>
      </c>
      <c r="J48" s="62">
        <f t="shared" ref="J48:AG48" si="91">J49</f>
        <v>4729.085</v>
      </c>
      <c r="K48" s="62">
        <f t="shared" si="91"/>
        <v>1017.74</v>
      </c>
      <c r="L48" s="62">
        <f t="shared" si="91"/>
        <v>4931.268</v>
      </c>
      <c r="M48" s="62">
        <f t="shared" si="91"/>
        <v>4075.4470000000001</v>
      </c>
      <c r="N48" s="62">
        <f t="shared" si="91"/>
        <v>5070.2219999999998</v>
      </c>
      <c r="O48" s="62">
        <f t="shared" si="91"/>
        <v>5310.01</v>
      </c>
      <c r="P48" s="62">
        <f t="shared" si="91"/>
        <v>5128.4309999999996</v>
      </c>
      <c r="Q48" s="62">
        <f t="shared" si="91"/>
        <v>10403.200000000001</v>
      </c>
      <c r="R48" s="62">
        <f t="shared" si="91"/>
        <v>5058.4309999999996</v>
      </c>
      <c r="S48" s="62">
        <f t="shared" si="91"/>
        <v>0</v>
      </c>
      <c r="T48" s="62">
        <f t="shared" si="91"/>
        <v>3848.0439999999999</v>
      </c>
      <c r="U48" s="62">
        <f t="shared" si="91"/>
        <v>0</v>
      </c>
      <c r="V48" s="62">
        <f t="shared" si="91"/>
        <v>2660.346</v>
      </c>
      <c r="W48" s="62">
        <f t="shared" si="91"/>
        <v>0</v>
      </c>
      <c r="X48" s="62">
        <f t="shared" si="91"/>
        <v>1752.5940000000001</v>
      </c>
      <c r="Y48" s="62">
        <f t="shared" si="91"/>
        <v>0</v>
      </c>
      <c r="Z48" s="62">
        <f t="shared" si="91"/>
        <v>1275.7249999999999</v>
      </c>
      <c r="AA48" s="62">
        <f t="shared" si="91"/>
        <v>0</v>
      </c>
      <c r="AB48" s="62">
        <f t="shared" si="91"/>
        <v>994.83</v>
      </c>
      <c r="AC48" s="62">
        <f t="shared" si="91"/>
        <v>0</v>
      </c>
      <c r="AD48" s="62">
        <f t="shared" si="91"/>
        <v>972.43</v>
      </c>
      <c r="AE48" s="62">
        <f t="shared" si="91"/>
        <v>0</v>
      </c>
      <c r="AF48" s="62">
        <f t="shared" si="91"/>
        <v>991.59199999999998</v>
      </c>
      <c r="AG48" s="62">
        <f t="shared" si="91"/>
        <v>0</v>
      </c>
      <c r="AH48" s="64"/>
      <c r="AI48" s="20"/>
    </row>
    <row r="49" spans="1:35" s="22" customFormat="1" ht="105.75" customHeight="1" x14ac:dyDescent="0.25">
      <c r="A49" s="155"/>
      <c r="B49" s="391"/>
      <c r="C49" s="126" t="s">
        <v>22</v>
      </c>
      <c r="D49" s="74">
        <f t="shared" ref="D49" si="92">SUM(J49,L49,N49,P49,R49,T49,V49,X49,Z49,AB49,AD49,AF49)</f>
        <v>37412.998</v>
      </c>
      <c r="E49" s="62">
        <f>J49+L49+N49+P49</f>
        <v>19859.005999999998</v>
      </c>
      <c r="F49" s="62">
        <f t="shared" si="85"/>
        <v>20806.397000000001</v>
      </c>
      <c r="G49" s="62">
        <f t="shared" ref="G49" si="93">SUM(K49,M49,O49,Q49,S49,U49,W49,Y49,AA49,AC49,AE49,AG49)</f>
        <v>20806.397000000001</v>
      </c>
      <c r="H49" s="62">
        <f t="shared" si="86"/>
        <v>55.612749879066094</v>
      </c>
      <c r="I49" s="62">
        <f t="shared" si="87"/>
        <v>104.77058620154504</v>
      </c>
      <c r="J49" s="63">
        <v>4729.085</v>
      </c>
      <c r="K49" s="63">
        <v>1017.74</v>
      </c>
      <c r="L49" s="63">
        <v>4931.268</v>
      </c>
      <c r="M49" s="63">
        <v>4075.4470000000001</v>
      </c>
      <c r="N49" s="63">
        <v>5070.2219999999998</v>
      </c>
      <c r="O49" s="63">
        <v>5310.01</v>
      </c>
      <c r="P49" s="63">
        <v>5128.4309999999996</v>
      </c>
      <c r="Q49" s="63">
        <v>10403.200000000001</v>
      </c>
      <c r="R49" s="63">
        <v>5058.4309999999996</v>
      </c>
      <c r="S49" s="63">
        <v>0</v>
      </c>
      <c r="T49" s="63">
        <v>3848.0439999999999</v>
      </c>
      <c r="U49" s="63">
        <v>0</v>
      </c>
      <c r="V49" s="63">
        <v>2660.346</v>
      </c>
      <c r="W49" s="63">
        <v>0</v>
      </c>
      <c r="X49" s="63">
        <v>1752.5940000000001</v>
      </c>
      <c r="Y49" s="63">
        <v>0</v>
      </c>
      <c r="Z49" s="63">
        <v>1275.7249999999999</v>
      </c>
      <c r="AA49" s="63">
        <v>0</v>
      </c>
      <c r="AB49" s="63">
        <v>994.83</v>
      </c>
      <c r="AC49" s="63">
        <v>0</v>
      </c>
      <c r="AD49" s="63">
        <v>972.43</v>
      </c>
      <c r="AE49" s="63">
        <v>0</v>
      </c>
      <c r="AF49" s="63">
        <v>991.59199999999998</v>
      </c>
      <c r="AG49" s="63">
        <v>0</v>
      </c>
      <c r="AH49" s="64"/>
      <c r="AI49" s="20"/>
    </row>
    <row r="50" spans="1:35" s="22" customFormat="1" ht="90.75" customHeight="1" x14ac:dyDescent="0.25">
      <c r="A50" s="398"/>
      <c r="B50" s="395" t="s">
        <v>251</v>
      </c>
      <c r="C50" s="126" t="s">
        <v>20</v>
      </c>
      <c r="D50" s="74">
        <f>D52+D51</f>
        <v>8640</v>
      </c>
      <c r="E50" s="62">
        <f t="shared" ref="E50:G50" si="94">E52+E51</f>
        <v>3720</v>
      </c>
      <c r="F50" s="62">
        <f t="shared" si="94"/>
        <v>3436</v>
      </c>
      <c r="G50" s="62">
        <f t="shared" si="94"/>
        <v>3436</v>
      </c>
      <c r="H50" s="62">
        <f t="shared" si="86"/>
        <v>39.768518518518519</v>
      </c>
      <c r="I50" s="62">
        <f t="shared" si="87"/>
        <v>92.365591397849471</v>
      </c>
      <c r="J50" s="63">
        <f>J52+J51</f>
        <v>930</v>
      </c>
      <c r="K50" s="63">
        <f t="shared" ref="K50:AG50" si="95">K52+K51</f>
        <v>0</v>
      </c>
      <c r="L50" s="63">
        <f t="shared" si="95"/>
        <v>930</v>
      </c>
      <c r="M50" s="63">
        <f t="shared" si="95"/>
        <v>1300</v>
      </c>
      <c r="N50" s="63">
        <f t="shared" si="95"/>
        <v>930</v>
      </c>
      <c r="O50" s="63">
        <f t="shared" si="95"/>
        <v>1060</v>
      </c>
      <c r="P50" s="63">
        <f t="shared" si="95"/>
        <v>930</v>
      </c>
      <c r="Q50" s="67">
        <f t="shared" si="95"/>
        <v>1076</v>
      </c>
      <c r="R50" s="63">
        <f t="shared" si="95"/>
        <v>930</v>
      </c>
      <c r="S50" s="63">
        <f t="shared" si="95"/>
        <v>0</v>
      </c>
      <c r="T50" s="63">
        <f t="shared" si="95"/>
        <v>930</v>
      </c>
      <c r="U50" s="63">
        <f t="shared" si="95"/>
        <v>0</v>
      </c>
      <c r="V50" s="63">
        <f t="shared" si="95"/>
        <v>930</v>
      </c>
      <c r="W50" s="63">
        <f t="shared" si="95"/>
        <v>0</v>
      </c>
      <c r="X50" s="63">
        <f t="shared" si="95"/>
        <v>930</v>
      </c>
      <c r="Y50" s="63">
        <f t="shared" si="95"/>
        <v>0</v>
      </c>
      <c r="Z50" s="63">
        <f t="shared" si="95"/>
        <v>600</v>
      </c>
      <c r="AA50" s="63">
        <f t="shared" si="95"/>
        <v>0</v>
      </c>
      <c r="AB50" s="63">
        <f t="shared" si="95"/>
        <v>600</v>
      </c>
      <c r="AC50" s="63">
        <f t="shared" si="95"/>
        <v>0</v>
      </c>
      <c r="AD50" s="63">
        <f t="shared" si="95"/>
        <v>0</v>
      </c>
      <c r="AE50" s="63">
        <f t="shared" si="95"/>
        <v>0</v>
      </c>
      <c r="AF50" s="63">
        <f t="shared" si="95"/>
        <v>0</v>
      </c>
      <c r="AG50" s="63">
        <f t="shared" si="95"/>
        <v>0</v>
      </c>
      <c r="AH50" s="64"/>
      <c r="AI50" s="20"/>
    </row>
    <row r="51" spans="1:35" s="22" customFormat="1" ht="88.5" customHeight="1" x14ac:dyDescent="0.25">
      <c r="A51" s="399"/>
      <c r="B51" s="396"/>
      <c r="C51" s="126" t="s">
        <v>22</v>
      </c>
      <c r="D51" s="74">
        <f>SUM(J51,L51,N51,P51,R51,T51,V51,X51,Z51,AB51,AD51,AF51)</f>
        <v>8640</v>
      </c>
      <c r="E51" s="62">
        <f>J51+L51+N51+P51</f>
        <v>3720</v>
      </c>
      <c r="F51" s="62">
        <f>G51</f>
        <v>3436</v>
      </c>
      <c r="G51" s="62">
        <f>SUM(K51,M51,O51,Q51,S51,U51,W51,Y51,AA51,AC51,AE51,AG51)</f>
        <v>3436</v>
      </c>
      <c r="H51" s="62">
        <f>IFERROR(G51/D51*100,0)</f>
        <v>39.768518518518519</v>
      </c>
      <c r="I51" s="62">
        <f>IFERROR(G51/E51*100,0)</f>
        <v>92.365591397849471</v>
      </c>
      <c r="J51" s="63">
        <v>930</v>
      </c>
      <c r="K51" s="63">
        <v>0</v>
      </c>
      <c r="L51" s="63">
        <v>930</v>
      </c>
      <c r="M51" s="63">
        <v>1300</v>
      </c>
      <c r="N51" s="63">
        <v>930</v>
      </c>
      <c r="O51" s="63">
        <v>1060</v>
      </c>
      <c r="P51" s="63">
        <v>930</v>
      </c>
      <c r="Q51" s="63">
        <v>1076</v>
      </c>
      <c r="R51" s="63">
        <v>930</v>
      </c>
      <c r="S51" s="63">
        <v>0</v>
      </c>
      <c r="T51" s="63">
        <v>930</v>
      </c>
      <c r="U51" s="63">
        <v>0</v>
      </c>
      <c r="V51" s="63">
        <v>930</v>
      </c>
      <c r="W51" s="63">
        <v>0</v>
      </c>
      <c r="X51" s="63">
        <v>930</v>
      </c>
      <c r="Y51" s="63">
        <v>0</v>
      </c>
      <c r="Z51" s="63">
        <v>600</v>
      </c>
      <c r="AA51" s="63">
        <v>0</v>
      </c>
      <c r="AB51" s="63">
        <v>600</v>
      </c>
      <c r="AC51" s="63">
        <v>0</v>
      </c>
      <c r="AD51" s="63">
        <v>0</v>
      </c>
      <c r="AE51" s="63">
        <v>0</v>
      </c>
      <c r="AF51" s="63">
        <v>0</v>
      </c>
      <c r="AG51" s="63">
        <v>0</v>
      </c>
      <c r="AH51" s="64"/>
      <c r="AI51" s="20"/>
    </row>
    <row r="52" spans="1:35" s="18" customFormat="1" ht="28.5" hidden="1" customHeight="1" x14ac:dyDescent="0.25">
      <c r="A52" s="400"/>
      <c r="B52" s="397"/>
      <c r="C52" s="140" t="s">
        <v>114</v>
      </c>
      <c r="D52" s="141">
        <f>SUM(J52,L52,N52,P52,R52,T52,V52,X52,Z52,AB52,AD52,AF52)</f>
        <v>0</v>
      </c>
      <c r="E52" s="142">
        <f>J52</f>
        <v>0</v>
      </c>
      <c r="F52" s="142">
        <f>G52</f>
        <v>0</v>
      </c>
      <c r="G52" s="142">
        <f>SUM(K52,M52,O52,Q52,S52,U52,W52,Y52,AA52,AC52,AE52,AG52)</f>
        <v>0</v>
      </c>
      <c r="H52" s="142">
        <f>IFERROR(G52/D52*100,0)</f>
        <v>0</v>
      </c>
      <c r="I52" s="142">
        <f>IFERROR(G52/E52*100,0)</f>
        <v>0</v>
      </c>
      <c r="J52" s="157">
        <v>0</v>
      </c>
      <c r="K52" s="157">
        <v>0</v>
      </c>
      <c r="L52" s="157">
        <v>0</v>
      </c>
      <c r="M52" s="157">
        <v>0</v>
      </c>
      <c r="N52" s="157">
        <v>0</v>
      </c>
      <c r="O52" s="157">
        <v>0</v>
      </c>
      <c r="P52" s="157">
        <v>0</v>
      </c>
      <c r="Q52" s="157">
        <v>0</v>
      </c>
      <c r="R52" s="157">
        <v>0</v>
      </c>
      <c r="S52" s="157">
        <v>0</v>
      </c>
      <c r="T52" s="157">
        <v>0</v>
      </c>
      <c r="U52" s="157">
        <v>0</v>
      </c>
      <c r="V52" s="157">
        <v>0</v>
      </c>
      <c r="W52" s="157">
        <v>0</v>
      </c>
      <c r="X52" s="157">
        <v>0</v>
      </c>
      <c r="Y52" s="157">
        <v>0</v>
      </c>
      <c r="Z52" s="157">
        <v>0</v>
      </c>
      <c r="AA52" s="157">
        <v>0</v>
      </c>
      <c r="AB52" s="157">
        <v>0</v>
      </c>
      <c r="AC52" s="157">
        <v>0</v>
      </c>
      <c r="AD52" s="157">
        <v>0</v>
      </c>
      <c r="AE52" s="157">
        <v>0</v>
      </c>
      <c r="AF52" s="157">
        <v>0</v>
      </c>
      <c r="AG52" s="157">
        <v>0</v>
      </c>
      <c r="AH52" s="46"/>
      <c r="AI52" s="19"/>
    </row>
    <row r="53" spans="1:35" s="22" customFormat="1" ht="69" customHeight="1" x14ac:dyDescent="0.25">
      <c r="A53" s="155"/>
      <c r="B53" s="391" t="s">
        <v>252</v>
      </c>
      <c r="C53" s="126" t="s">
        <v>20</v>
      </c>
      <c r="D53" s="74">
        <f t="shared" ref="D53:E53" si="96">D54</f>
        <v>46122.400000000001</v>
      </c>
      <c r="E53" s="62">
        <f t="shared" si="96"/>
        <v>21300</v>
      </c>
      <c r="F53" s="62">
        <f t="shared" ref="F53:F54" si="97">G53</f>
        <v>20658.523999999998</v>
      </c>
      <c r="G53" s="62">
        <f>G54</f>
        <v>20658.523999999998</v>
      </c>
      <c r="H53" s="62">
        <f t="shared" ref="H53:H55" si="98">IFERROR(G53/D53*100,0)</f>
        <v>44.790652698038258</v>
      </c>
      <c r="I53" s="62">
        <f t="shared" ref="I53:I55" si="99">IFERROR(G53/E53*100,0)</f>
        <v>96.988375586854445</v>
      </c>
      <c r="J53" s="62">
        <f t="shared" ref="J53:AG53" si="100">J54</f>
        <v>0</v>
      </c>
      <c r="K53" s="62">
        <f t="shared" si="100"/>
        <v>0</v>
      </c>
      <c r="L53" s="62">
        <f t="shared" si="100"/>
        <v>10000</v>
      </c>
      <c r="M53" s="62">
        <f t="shared" si="100"/>
        <v>9277.5139999999992</v>
      </c>
      <c r="N53" s="62">
        <f t="shared" si="100"/>
        <v>5000</v>
      </c>
      <c r="O53" s="62">
        <f t="shared" si="100"/>
        <v>5629.19</v>
      </c>
      <c r="P53" s="62">
        <f t="shared" si="100"/>
        <v>6300</v>
      </c>
      <c r="Q53" s="62">
        <f t="shared" si="100"/>
        <v>5751.82</v>
      </c>
      <c r="R53" s="62">
        <f t="shared" si="100"/>
        <v>0</v>
      </c>
      <c r="S53" s="62">
        <f t="shared" si="100"/>
        <v>0</v>
      </c>
      <c r="T53" s="62">
        <f t="shared" si="100"/>
        <v>0</v>
      </c>
      <c r="U53" s="62">
        <f t="shared" si="100"/>
        <v>0</v>
      </c>
      <c r="V53" s="62">
        <f t="shared" si="100"/>
        <v>0</v>
      </c>
      <c r="W53" s="62">
        <f t="shared" si="100"/>
        <v>0</v>
      </c>
      <c r="X53" s="62">
        <f t="shared" si="100"/>
        <v>0</v>
      </c>
      <c r="Y53" s="62">
        <f t="shared" si="100"/>
        <v>0</v>
      </c>
      <c r="Z53" s="62">
        <f t="shared" si="100"/>
        <v>0</v>
      </c>
      <c r="AA53" s="62">
        <f t="shared" si="100"/>
        <v>0</v>
      </c>
      <c r="AB53" s="62">
        <f t="shared" si="100"/>
        <v>0</v>
      </c>
      <c r="AC53" s="62">
        <f t="shared" si="100"/>
        <v>0</v>
      </c>
      <c r="AD53" s="62">
        <f t="shared" si="100"/>
        <v>0</v>
      </c>
      <c r="AE53" s="62">
        <f t="shared" si="100"/>
        <v>0</v>
      </c>
      <c r="AF53" s="62">
        <f t="shared" si="100"/>
        <v>24822.400000000001</v>
      </c>
      <c r="AG53" s="62">
        <f t="shared" si="100"/>
        <v>0</v>
      </c>
      <c r="AH53" s="64"/>
      <c r="AI53" s="20"/>
    </row>
    <row r="54" spans="1:35" s="22" customFormat="1" ht="67.5" customHeight="1" x14ac:dyDescent="0.25">
      <c r="A54" s="155"/>
      <c r="B54" s="391"/>
      <c r="C54" s="126" t="s">
        <v>22</v>
      </c>
      <c r="D54" s="74">
        <f t="shared" ref="D54" si="101">SUM(J54,L54,N54,P54,R54,T54,V54,X54,Z54,AB54,AD54,AF54)</f>
        <v>46122.400000000001</v>
      </c>
      <c r="E54" s="62">
        <f>J54+L54+N54+P54</f>
        <v>21300</v>
      </c>
      <c r="F54" s="62">
        <f t="shared" si="97"/>
        <v>20658.523999999998</v>
      </c>
      <c r="G54" s="62">
        <f t="shared" ref="G54" si="102">SUM(K54,M54,O54,Q54,S54,U54,W54,Y54,AA54,AC54,AE54,AG54)</f>
        <v>20658.523999999998</v>
      </c>
      <c r="H54" s="62">
        <f t="shared" si="98"/>
        <v>44.790652698038258</v>
      </c>
      <c r="I54" s="62">
        <f t="shared" si="99"/>
        <v>96.988375586854445</v>
      </c>
      <c r="J54" s="63">
        <v>0</v>
      </c>
      <c r="K54" s="63">
        <v>0</v>
      </c>
      <c r="L54" s="63">
        <v>10000</v>
      </c>
      <c r="M54" s="63">
        <v>9277.5139999999992</v>
      </c>
      <c r="N54" s="63">
        <v>5000</v>
      </c>
      <c r="O54" s="63">
        <v>5629.19</v>
      </c>
      <c r="P54" s="63">
        <v>6300</v>
      </c>
      <c r="Q54" s="63">
        <v>5751.82</v>
      </c>
      <c r="R54" s="63">
        <v>0</v>
      </c>
      <c r="S54" s="63">
        <v>0</v>
      </c>
      <c r="T54" s="63">
        <v>0</v>
      </c>
      <c r="U54" s="63">
        <v>0</v>
      </c>
      <c r="V54" s="63">
        <v>0</v>
      </c>
      <c r="W54" s="63">
        <v>0</v>
      </c>
      <c r="X54" s="63">
        <v>0</v>
      </c>
      <c r="Y54" s="63">
        <v>0</v>
      </c>
      <c r="Z54" s="63">
        <v>0</v>
      </c>
      <c r="AA54" s="63">
        <v>0</v>
      </c>
      <c r="AB54" s="63">
        <v>0</v>
      </c>
      <c r="AC54" s="63">
        <v>0</v>
      </c>
      <c r="AD54" s="63">
        <v>0</v>
      </c>
      <c r="AE54" s="63">
        <v>0</v>
      </c>
      <c r="AF54" s="63">
        <f>46122.4-10000-5000-6300</f>
        <v>24822.400000000001</v>
      </c>
      <c r="AG54" s="63">
        <v>0</v>
      </c>
      <c r="AH54" s="64"/>
      <c r="AI54" s="20"/>
    </row>
    <row r="55" spans="1:35" s="22" customFormat="1" ht="23.25" customHeight="1" x14ac:dyDescent="0.25">
      <c r="A55" s="392"/>
      <c r="B55" s="395" t="s">
        <v>253</v>
      </c>
      <c r="C55" s="126" t="s">
        <v>20</v>
      </c>
      <c r="D55" s="74">
        <f>D57+D56</f>
        <v>11563.3</v>
      </c>
      <c r="E55" s="62">
        <f t="shared" ref="E55:G55" si="103">E57+E56</f>
        <v>0</v>
      </c>
      <c r="F55" s="62">
        <f t="shared" si="103"/>
        <v>0</v>
      </c>
      <c r="G55" s="62">
        <f t="shared" si="103"/>
        <v>0</v>
      </c>
      <c r="H55" s="62">
        <f t="shared" si="98"/>
        <v>0</v>
      </c>
      <c r="I55" s="62">
        <f t="shared" si="99"/>
        <v>0</v>
      </c>
      <c r="J55" s="63">
        <f>J57+J56</f>
        <v>0</v>
      </c>
      <c r="K55" s="63">
        <f t="shared" ref="K55:AG55" si="104">K57+K56</f>
        <v>0</v>
      </c>
      <c r="L55" s="63">
        <f t="shared" si="104"/>
        <v>0</v>
      </c>
      <c r="M55" s="63">
        <f t="shared" si="104"/>
        <v>0</v>
      </c>
      <c r="N55" s="63">
        <f t="shared" si="104"/>
        <v>0</v>
      </c>
      <c r="O55" s="63">
        <f t="shared" si="104"/>
        <v>0</v>
      </c>
      <c r="P55" s="63">
        <f t="shared" si="104"/>
        <v>0</v>
      </c>
      <c r="Q55" s="63">
        <f t="shared" si="104"/>
        <v>0</v>
      </c>
      <c r="R55" s="63">
        <f t="shared" si="104"/>
        <v>0</v>
      </c>
      <c r="S55" s="63">
        <f t="shared" si="104"/>
        <v>0</v>
      </c>
      <c r="T55" s="63">
        <f t="shared" si="104"/>
        <v>0</v>
      </c>
      <c r="U55" s="63">
        <f t="shared" si="104"/>
        <v>0</v>
      </c>
      <c r="V55" s="63">
        <f t="shared" si="104"/>
        <v>0</v>
      </c>
      <c r="W55" s="63">
        <f t="shared" si="104"/>
        <v>0</v>
      </c>
      <c r="X55" s="63">
        <f t="shared" si="104"/>
        <v>0</v>
      </c>
      <c r="Y55" s="63">
        <f t="shared" si="104"/>
        <v>0</v>
      </c>
      <c r="Z55" s="63">
        <f t="shared" si="104"/>
        <v>0</v>
      </c>
      <c r="AA55" s="63">
        <f t="shared" si="104"/>
        <v>0</v>
      </c>
      <c r="AB55" s="63">
        <f t="shared" si="104"/>
        <v>0</v>
      </c>
      <c r="AC55" s="63">
        <f t="shared" si="104"/>
        <v>0</v>
      </c>
      <c r="AD55" s="63">
        <f t="shared" si="104"/>
        <v>0</v>
      </c>
      <c r="AE55" s="63">
        <f t="shared" si="104"/>
        <v>0</v>
      </c>
      <c r="AF55" s="63">
        <f t="shared" si="104"/>
        <v>11563.3</v>
      </c>
      <c r="AG55" s="63">
        <f t="shared" si="104"/>
        <v>0</v>
      </c>
      <c r="AH55" s="64"/>
      <c r="AI55" s="20"/>
    </row>
    <row r="56" spans="1:35" s="22" customFormat="1" ht="66.75" customHeight="1" x14ac:dyDescent="0.25">
      <c r="A56" s="393"/>
      <c r="B56" s="396"/>
      <c r="C56" s="126" t="s">
        <v>22</v>
      </c>
      <c r="D56" s="74">
        <f>SUM(J56,L56,N56,P56,R56,T56,V56,X56,Z56,AB56,AD56,AF56)</f>
        <v>10406.9</v>
      </c>
      <c r="E56" s="62">
        <f>J56</f>
        <v>0</v>
      </c>
      <c r="F56" s="62">
        <f>G56</f>
        <v>0</v>
      </c>
      <c r="G56" s="62">
        <f>SUM(K56,M56,O56,Q56,S56,U56,W56,Y56,AA56,AC56,AE56,AG56)</f>
        <v>0</v>
      </c>
      <c r="H56" s="62">
        <f>IFERROR(G56/D56*100,0)</f>
        <v>0</v>
      </c>
      <c r="I56" s="62">
        <f>IFERROR(G56/E56*100,0)</f>
        <v>0</v>
      </c>
      <c r="J56" s="63">
        <v>0</v>
      </c>
      <c r="K56" s="63">
        <v>0</v>
      </c>
      <c r="L56" s="63">
        <v>0</v>
      </c>
      <c r="M56" s="63">
        <v>0</v>
      </c>
      <c r="N56" s="63">
        <v>0</v>
      </c>
      <c r="O56" s="63">
        <v>0</v>
      </c>
      <c r="P56" s="63">
        <v>0</v>
      </c>
      <c r="Q56" s="63">
        <v>0</v>
      </c>
      <c r="R56" s="63">
        <v>0</v>
      </c>
      <c r="S56" s="63">
        <v>0</v>
      </c>
      <c r="T56" s="63">
        <v>0</v>
      </c>
      <c r="U56" s="63">
        <v>0</v>
      </c>
      <c r="V56" s="63">
        <v>0</v>
      </c>
      <c r="W56" s="63">
        <v>0</v>
      </c>
      <c r="X56" s="63">
        <v>0</v>
      </c>
      <c r="Y56" s="63">
        <v>0</v>
      </c>
      <c r="Z56" s="63">
        <v>0</v>
      </c>
      <c r="AA56" s="63">
        <v>0</v>
      </c>
      <c r="AB56" s="63">
        <v>0</v>
      </c>
      <c r="AC56" s="63">
        <v>0</v>
      </c>
      <c r="AD56" s="63">
        <v>0</v>
      </c>
      <c r="AE56" s="63">
        <v>0</v>
      </c>
      <c r="AF56" s="63">
        <v>10406.9</v>
      </c>
      <c r="AG56" s="63">
        <v>0</v>
      </c>
      <c r="AH56" s="64"/>
      <c r="AI56" s="20"/>
    </row>
    <row r="57" spans="1:35" s="22" customFormat="1" ht="75.75" customHeight="1" x14ac:dyDescent="0.25">
      <c r="A57" s="394"/>
      <c r="B57" s="397"/>
      <c r="C57" s="126" t="s">
        <v>21</v>
      </c>
      <c r="D57" s="74">
        <f>SUM(J57,L57,N57,P57,R57,T57,V57,X57,Z57,AB57,AD57,AF57)</f>
        <v>1156.4000000000001</v>
      </c>
      <c r="E57" s="62">
        <f>J57</f>
        <v>0</v>
      </c>
      <c r="F57" s="62">
        <f>G57</f>
        <v>0</v>
      </c>
      <c r="G57" s="62">
        <f>SUM(K57,M57,O57,Q57,S57,U57,W57,Y57,AA57,AC57,AE57,AG57)</f>
        <v>0</v>
      </c>
      <c r="H57" s="62">
        <f>IFERROR(G57/D57*100,0)</f>
        <v>0</v>
      </c>
      <c r="I57" s="62">
        <f>IFERROR(G57/E57*100,0)</f>
        <v>0</v>
      </c>
      <c r="J57" s="63">
        <v>0</v>
      </c>
      <c r="K57" s="63">
        <v>0</v>
      </c>
      <c r="L57" s="63">
        <v>0</v>
      </c>
      <c r="M57" s="63">
        <v>0</v>
      </c>
      <c r="N57" s="63">
        <v>0</v>
      </c>
      <c r="O57" s="63">
        <v>0</v>
      </c>
      <c r="P57" s="63">
        <v>0</v>
      </c>
      <c r="Q57" s="63">
        <v>0</v>
      </c>
      <c r="R57" s="63">
        <v>0</v>
      </c>
      <c r="S57" s="63">
        <v>0</v>
      </c>
      <c r="T57" s="63">
        <v>0</v>
      </c>
      <c r="U57" s="63">
        <v>0</v>
      </c>
      <c r="V57" s="63">
        <v>0</v>
      </c>
      <c r="W57" s="63">
        <v>0</v>
      </c>
      <c r="X57" s="63">
        <v>0</v>
      </c>
      <c r="Y57" s="63">
        <v>0</v>
      </c>
      <c r="Z57" s="63">
        <v>0</v>
      </c>
      <c r="AA57" s="63">
        <v>0</v>
      </c>
      <c r="AB57" s="63">
        <v>0</v>
      </c>
      <c r="AC57" s="63">
        <v>0</v>
      </c>
      <c r="AD57" s="63">
        <v>0</v>
      </c>
      <c r="AE57" s="63">
        <v>0</v>
      </c>
      <c r="AF57" s="63">
        <v>1156.4000000000001</v>
      </c>
      <c r="AG57" s="63">
        <v>0</v>
      </c>
      <c r="AH57" s="64"/>
      <c r="AI57" s="20"/>
    </row>
    <row r="58" spans="1:35" s="22" customFormat="1" ht="33" customHeight="1" x14ac:dyDescent="0.25">
      <c r="A58" s="374"/>
      <c r="B58" s="401" t="s">
        <v>254</v>
      </c>
      <c r="C58" s="125" t="s">
        <v>20</v>
      </c>
      <c r="D58" s="70">
        <f>D60+D59</f>
        <v>1506.3000000000002</v>
      </c>
      <c r="E58" s="58">
        <f t="shared" ref="E58:G58" si="105">E60+E59</f>
        <v>569.23</v>
      </c>
      <c r="F58" s="58">
        <f t="shared" si="105"/>
        <v>502.31999999999994</v>
      </c>
      <c r="G58" s="58">
        <f t="shared" si="105"/>
        <v>502.31999999999994</v>
      </c>
      <c r="H58" s="58">
        <f t="shared" ref="H58" si="106">IFERROR(G58/D58*100,0)</f>
        <v>33.347938657637911</v>
      </c>
      <c r="I58" s="58">
        <f t="shared" ref="I58" si="107">IFERROR(G58/E58*100,0)</f>
        <v>88.245524656114384</v>
      </c>
      <c r="J58" s="59">
        <f>J60+J59</f>
        <v>27.14</v>
      </c>
      <c r="K58" s="59">
        <f t="shared" ref="K58:AG58" si="108">K60+K59</f>
        <v>0</v>
      </c>
      <c r="L58" s="59">
        <f t="shared" si="108"/>
        <v>0</v>
      </c>
      <c r="M58" s="59">
        <f t="shared" si="108"/>
        <v>27.14</v>
      </c>
      <c r="N58" s="59">
        <f t="shared" si="108"/>
        <v>542.09</v>
      </c>
      <c r="O58" s="59">
        <f t="shared" si="108"/>
        <v>417.09</v>
      </c>
      <c r="P58" s="59">
        <f t="shared" si="108"/>
        <v>207.09</v>
      </c>
      <c r="Q58" s="59">
        <f t="shared" si="108"/>
        <v>58.09</v>
      </c>
      <c r="R58" s="59">
        <f t="shared" si="108"/>
        <v>0</v>
      </c>
      <c r="S58" s="59">
        <f t="shared" si="108"/>
        <v>0</v>
      </c>
      <c r="T58" s="59">
        <f t="shared" si="108"/>
        <v>0</v>
      </c>
      <c r="U58" s="59">
        <f t="shared" si="108"/>
        <v>0</v>
      </c>
      <c r="V58" s="59">
        <f t="shared" si="108"/>
        <v>92.91</v>
      </c>
      <c r="W58" s="59">
        <f t="shared" si="108"/>
        <v>0</v>
      </c>
      <c r="X58" s="59">
        <f t="shared" si="108"/>
        <v>26.91</v>
      </c>
      <c r="Y58" s="59">
        <f t="shared" si="108"/>
        <v>0</v>
      </c>
      <c r="Z58" s="59">
        <f t="shared" si="108"/>
        <v>0</v>
      </c>
      <c r="AA58" s="59">
        <f t="shared" si="108"/>
        <v>0</v>
      </c>
      <c r="AB58" s="59">
        <f t="shared" si="108"/>
        <v>45</v>
      </c>
      <c r="AC58" s="59">
        <f t="shared" si="108"/>
        <v>0</v>
      </c>
      <c r="AD58" s="59">
        <f t="shared" si="108"/>
        <v>0</v>
      </c>
      <c r="AE58" s="59">
        <f t="shared" si="108"/>
        <v>0</v>
      </c>
      <c r="AF58" s="59">
        <f t="shared" si="108"/>
        <v>565.16000000000008</v>
      </c>
      <c r="AG58" s="59">
        <f t="shared" si="108"/>
        <v>0</v>
      </c>
      <c r="AH58" s="60"/>
      <c r="AI58" s="20"/>
    </row>
    <row r="59" spans="1:35" s="22" customFormat="1" ht="57.75" hidden="1" customHeight="1" x14ac:dyDescent="0.25">
      <c r="A59" s="374"/>
      <c r="B59" s="401"/>
      <c r="C59" s="126" t="s">
        <v>22</v>
      </c>
      <c r="D59" s="74">
        <f>SUM(J59,L59,N59,P59,R59,T59,V59,X59,Z59,AB59,AD59,AF59)</f>
        <v>0</v>
      </c>
      <c r="E59" s="62">
        <f>J59</f>
        <v>0</v>
      </c>
      <c r="F59" s="62">
        <f>G59</f>
        <v>0</v>
      </c>
      <c r="G59" s="62">
        <f>SUM(K59,M59,O59,Q59,S59,U59,W59,Y59,AA59,AC59,AE59,AG59)</f>
        <v>0</v>
      </c>
      <c r="H59" s="62">
        <f>IFERROR(G59/D59*100,0)</f>
        <v>0</v>
      </c>
      <c r="I59" s="62">
        <f>IFERROR(G59/E59*100,0)</f>
        <v>0</v>
      </c>
      <c r="J59" s="63">
        <v>0</v>
      </c>
      <c r="K59" s="63">
        <v>0</v>
      </c>
      <c r="L59" s="63">
        <v>0</v>
      </c>
      <c r="M59" s="63">
        <v>0</v>
      </c>
      <c r="N59" s="63">
        <v>0</v>
      </c>
      <c r="O59" s="63">
        <v>0</v>
      </c>
      <c r="P59" s="63">
        <v>0</v>
      </c>
      <c r="Q59" s="63">
        <v>0</v>
      </c>
      <c r="R59" s="63">
        <v>0</v>
      </c>
      <c r="S59" s="63">
        <v>0</v>
      </c>
      <c r="T59" s="63">
        <v>0</v>
      </c>
      <c r="U59" s="63">
        <v>0</v>
      </c>
      <c r="V59" s="63">
        <v>0</v>
      </c>
      <c r="W59" s="63">
        <v>0</v>
      </c>
      <c r="X59" s="63">
        <v>0</v>
      </c>
      <c r="Y59" s="63">
        <v>0</v>
      </c>
      <c r="Z59" s="63">
        <v>0</v>
      </c>
      <c r="AA59" s="63">
        <v>0</v>
      </c>
      <c r="AB59" s="63">
        <v>0</v>
      </c>
      <c r="AC59" s="63">
        <v>0</v>
      </c>
      <c r="AD59" s="63">
        <v>0</v>
      </c>
      <c r="AE59" s="63">
        <v>0</v>
      </c>
      <c r="AF59" s="63">
        <v>0</v>
      </c>
      <c r="AG59" s="63">
        <v>0</v>
      </c>
      <c r="AH59" s="60"/>
      <c r="AI59" s="20"/>
    </row>
    <row r="60" spans="1:35" s="22" customFormat="1" ht="39" customHeight="1" x14ac:dyDescent="0.25">
      <c r="A60" s="375"/>
      <c r="B60" s="401"/>
      <c r="C60" s="126" t="s">
        <v>21</v>
      </c>
      <c r="D60" s="74">
        <f>SUM(J60,L60,N60,P60,R60,T60,V60,X60,Z60,AB60,AD60,AF60)</f>
        <v>1506.3000000000002</v>
      </c>
      <c r="E60" s="62">
        <f>J60+N60</f>
        <v>569.23</v>
      </c>
      <c r="F60" s="62">
        <f>G60</f>
        <v>502.31999999999994</v>
      </c>
      <c r="G60" s="62">
        <f t="shared" ref="G60:G62" si="109">SUM(K60,M60,O60,Q60,S60,U60,W60,Y60,AA60,AC60,AE60,AG60)</f>
        <v>502.31999999999994</v>
      </c>
      <c r="H60" s="62">
        <f>IFERROR(G60/D60*100,0)</f>
        <v>33.347938657637911</v>
      </c>
      <c r="I60" s="62">
        <f>IFERROR(G60/E60*100,0)</f>
        <v>88.245524656114384</v>
      </c>
      <c r="J60" s="63">
        <f>J62+J64</f>
        <v>27.14</v>
      </c>
      <c r="K60" s="63">
        <f t="shared" ref="K60:AG60" si="110">K62+K64</f>
        <v>0</v>
      </c>
      <c r="L60" s="63">
        <f t="shared" si="110"/>
        <v>0</v>
      </c>
      <c r="M60" s="63">
        <f t="shared" si="110"/>
        <v>27.14</v>
      </c>
      <c r="N60" s="63">
        <f t="shared" si="110"/>
        <v>542.09</v>
      </c>
      <c r="O60" s="63">
        <f t="shared" si="110"/>
        <v>417.09</v>
      </c>
      <c r="P60" s="63">
        <f t="shared" si="110"/>
        <v>207.09</v>
      </c>
      <c r="Q60" s="63">
        <f t="shared" si="110"/>
        <v>58.09</v>
      </c>
      <c r="R60" s="63">
        <f t="shared" si="110"/>
        <v>0</v>
      </c>
      <c r="S60" s="63">
        <f t="shared" si="110"/>
        <v>0</v>
      </c>
      <c r="T60" s="63">
        <f t="shared" si="110"/>
        <v>0</v>
      </c>
      <c r="U60" s="63">
        <f t="shared" si="110"/>
        <v>0</v>
      </c>
      <c r="V60" s="63">
        <f t="shared" si="110"/>
        <v>92.91</v>
      </c>
      <c r="W60" s="63">
        <f t="shared" si="110"/>
        <v>0</v>
      </c>
      <c r="X60" s="63">
        <f t="shared" si="110"/>
        <v>26.91</v>
      </c>
      <c r="Y60" s="63">
        <f t="shared" si="110"/>
        <v>0</v>
      </c>
      <c r="Z60" s="63">
        <f t="shared" si="110"/>
        <v>0</v>
      </c>
      <c r="AA60" s="63">
        <f t="shared" si="110"/>
        <v>0</v>
      </c>
      <c r="AB60" s="63">
        <f t="shared" si="110"/>
        <v>45</v>
      </c>
      <c r="AC60" s="63">
        <f t="shared" si="110"/>
        <v>0</v>
      </c>
      <c r="AD60" s="63">
        <f t="shared" si="110"/>
        <v>0</v>
      </c>
      <c r="AE60" s="63">
        <f t="shared" si="110"/>
        <v>0</v>
      </c>
      <c r="AF60" s="63">
        <f t="shared" si="110"/>
        <v>565.16000000000008</v>
      </c>
      <c r="AG60" s="63">
        <f t="shared" si="110"/>
        <v>0</v>
      </c>
      <c r="AH60" s="60"/>
      <c r="AI60" s="20"/>
    </row>
    <row r="61" spans="1:35" s="22" customFormat="1" ht="54" customHeight="1" x14ac:dyDescent="0.25">
      <c r="A61" s="153"/>
      <c r="B61" s="391" t="s">
        <v>255</v>
      </c>
      <c r="C61" s="125" t="s">
        <v>20</v>
      </c>
      <c r="D61" s="74">
        <f t="shared" ref="D61:AG61" si="111">D62</f>
        <v>904</v>
      </c>
      <c r="E61" s="62">
        <f>E62</f>
        <v>713</v>
      </c>
      <c r="F61" s="62">
        <f t="shared" ref="F61:F64" si="112">G61</f>
        <v>439</v>
      </c>
      <c r="G61" s="62">
        <f>G62</f>
        <v>439</v>
      </c>
      <c r="H61" s="62">
        <f t="shared" ref="H61:H65" si="113">IFERROR(G61/D61*100,0)</f>
        <v>48.561946902654867</v>
      </c>
      <c r="I61" s="62">
        <f t="shared" ref="I61:I65" si="114">IFERROR(G61/E61*100,0)</f>
        <v>61.570827489481061</v>
      </c>
      <c r="J61" s="62">
        <f t="shared" si="111"/>
        <v>0</v>
      </c>
      <c r="K61" s="62">
        <f t="shared" si="111"/>
        <v>0</v>
      </c>
      <c r="L61" s="62">
        <f t="shared" si="111"/>
        <v>0</v>
      </c>
      <c r="M61" s="62">
        <f t="shared" si="111"/>
        <v>0</v>
      </c>
      <c r="N61" s="62">
        <f t="shared" si="111"/>
        <v>524</v>
      </c>
      <c r="O61" s="62">
        <f t="shared" si="111"/>
        <v>399</v>
      </c>
      <c r="P61" s="62">
        <f t="shared" si="111"/>
        <v>189</v>
      </c>
      <c r="Q61" s="62">
        <f t="shared" si="111"/>
        <v>40</v>
      </c>
      <c r="R61" s="62">
        <f t="shared" si="111"/>
        <v>0</v>
      </c>
      <c r="S61" s="62">
        <f t="shared" si="111"/>
        <v>0</v>
      </c>
      <c r="T61" s="62">
        <f t="shared" si="111"/>
        <v>0</v>
      </c>
      <c r="U61" s="62">
        <f t="shared" si="111"/>
        <v>0</v>
      </c>
      <c r="V61" s="62">
        <f t="shared" si="111"/>
        <v>66</v>
      </c>
      <c r="W61" s="62">
        <f t="shared" si="111"/>
        <v>0</v>
      </c>
      <c r="X61" s="62">
        <f t="shared" si="111"/>
        <v>0</v>
      </c>
      <c r="Y61" s="62">
        <f t="shared" si="111"/>
        <v>0</v>
      </c>
      <c r="Z61" s="62">
        <f t="shared" si="111"/>
        <v>0</v>
      </c>
      <c r="AA61" s="62">
        <f t="shared" si="111"/>
        <v>0</v>
      </c>
      <c r="AB61" s="62">
        <f t="shared" si="111"/>
        <v>0</v>
      </c>
      <c r="AC61" s="62">
        <f t="shared" si="111"/>
        <v>0</v>
      </c>
      <c r="AD61" s="62">
        <f t="shared" si="111"/>
        <v>0</v>
      </c>
      <c r="AE61" s="62">
        <f t="shared" si="111"/>
        <v>0</v>
      </c>
      <c r="AF61" s="62">
        <f t="shared" si="111"/>
        <v>125</v>
      </c>
      <c r="AG61" s="62">
        <f t="shared" si="111"/>
        <v>0</v>
      </c>
      <c r="AH61" s="60"/>
      <c r="AI61" s="20"/>
    </row>
    <row r="62" spans="1:35" s="22" customFormat="1" ht="84" customHeight="1" x14ac:dyDescent="0.25">
      <c r="A62" s="153"/>
      <c r="B62" s="391"/>
      <c r="C62" s="126" t="s">
        <v>21</v>
      </c>
      <c r="D62" s="74">
        <f t="shared" ref="D62" si="115">SUM(J62,L62,N62,P62,R62,T62,V62,X62,Z62,AB62,AD62,AF62)</f>
        <v>904</v>
      </c>
      <c r="E62" s="62">
        <f>J62+L62+N62+P62</f>
        <v>713</v>
      </c>
      <c r="F62" s="62">
        <f t="shared" si="112"/>
        <v>439</v>
      </c>
      <c r="G62" s="62">
        <f t="shared" si="109"/>
        <v>439</v>
      </c>
      <c r="H62" s="62">
        <f t="shared" si="113"/>
        <v>48.561946902654867</v>
      </c>
      <c r="I62" s="62">
        <f t="shared" si="114"/>
        <v>61.570827489481061</v>
      </c>
      <c r="J62" s="63">
        <v>0</v>
      </c>
      <c r="K62" s="63">
        <v>0</v>
      </c>
      <c r="L62" s="63">
        <v>0</v>
      </c>
      <c r="M62" s="63">
        <v>0</v>
      </c>
      <c r="N62" s="63">
        <f>350+174</f>
        <v>524</v>
      </c>
      <c r="O62" s="63">
        <v>399</v>
      </c>
      <c r="P62" s="63">
        <v>189</v>
      </c>
      <c r="Q62" s="63">
        <v>40</v>
      </c>
      <c r="R62" s="63">
        <v>0</v>
      </c>
      <c r="S62" s="63">
        <v>0</v>
      </c>
      <c r="T62" s="63">
        <v>0</v>
      </c>
      <c r="U62" s="63">
        <v>0</v>
      </c>
      <c r="V62" s="63">
        <f>240-174</f>
        <v>66</v>
      </c>
      <c r="W62" s="63">
        <v>0</v>
      </c>
      <c r="X62" s="63">
        <v>0</v>
      </c>
      <c r="Y62" s="63">
        <v>0</v>
      </c>
      <c r="Z62" s="63">
        <v>0</v>
      </c>
      <c r="AA62" s="63">
        <v>0</v>
      </c>
      <c r="AB62" s="63">
        <v>0</v>
      </c>
      <c r="AC62" s="63">
        <v>0</v>
      </c>
      <c r="AD62" s="63">
        <v>0</v>
      </c>
      <c r="AE62" s="63">
        <v>0</v>
      </c>
      <c r="AF62" s="63">
        <v>125</v>
      </c>
      <c r="AG62" s="63">
        <v>0</v>
      </c>
      <c r="AH62" s="60"/>
      <c r="AI62" s="20"/>
    </row>
    <row r="63" spans="1:35" s="22" customFormat="1" ht="33" customHeight="1" x14ac:dyDescent="0.25">
      <c r="A63" s="153"/>
      <c r="B63" s="404" t="s">
        <v>334</v>
      </c>
      <c r="C63" s="125" t="s">
        <v>20</v>
      </c>
      <c r="D63" s="74">
        <f t="shared" ref="D63:E63" si="116">D64</f>
        <v>602.29999999999995</v>
      </c>
      <c r="E63" s="62">
        <f t="shared" si="116"/>
        <v>63.320000000000007</v>
      </c>
      <c r="F63" s="62">
        <f t="shared" si="112"/>
        <v>63.320000000000007</v>
      </c>
      <c r="G63" s="62">
        <f>G64</f>
        <v>63.320000000000007</v>
      </c>
      <c r="H63" s="62">
        <f t="shared" si="113"/>
        <v>10.513033372073719</v>
      </c>
      <c r="I63" s="62">
        <f t="shared" si="114"/>
        <v>100</v>
      </c>
      <c r="J63" s="62">
        <f t="shared" ref="J63:AG63" si="117">J64</f>
        <v>27.14</v>
      </c>
      <c r="K63" s="62">
        <f t="shared" si="117"/>
        <v>0</v>
      </c>
      <c r="L63" s="62">
        <f t="shared" si="117"/>
        <v>0</v>
      </c>
      <c r="M63" s="62">
        <f t="shared" si="117"/>
        <v>27.14</v>
      </c>
      <c r="N63" s="62">
        <f t="shared" si="117"/>
        <v>18.09</v>
      </c>
      <c r="O63" s="62">
        <f t="shared" si="117"/>
        <v>18.09</v>
      </c>
      <c r="P63" s="62">
        <f t="shared" si="117"/>
        <v>18.09</v>
      </c>
      <c r="Q63" s="62">
        <f t="shared" si="117"/>
        <v>18.09</v>
      </c>
      <c r="R63" s="62">
        <f t="shared" si="117"/>
        <v>0</v>
      </c>
      <c r="S63" s="62">
        <f t="shared" si="117"/>
        <v>0</v>
      </c>
      <c r="T63" s="62">
        <f t="shared" si="117"/>
        <v>0</v>
      </c>
      <c r="U63" s="62">
        <f t="shared" si="117"/>
        <v>0</v>
      </c>
      <c r="V63" s="62">
        <f t="shared" si="117"/>
        <v>26.91</v>
      </c>
      <c r="W63" s="62">
        <f t="shared" si="117"/>
        <v>0</v>
      </c>
      <c r="X63" s="62">
        <f t="shared" si="117"/>
        <v>26.91</v>
      </c>
      <c r="Y63" s="62">
        <f t="shared" si="117"/>
        <v>0</v>
      </c>
      <c r="Z63" s="62">
        <f t="shared" si="117"/>
        <v>0</v>
      </c>
      <c r="AA63" s="62">
        <f t="shared" si="117"/>
        <v>0</v>
      </c>
      <c r="AB63" s="62">
        <f t="shared" si="117"/>
        <v>45</v>
      </c>
      <c r="AC63" s="62">
        <f t="shared" si="117"/>
        <v>0</v>
      </c>
      <c r="AD63" s="62">
        <f t="shared" si="117"/>
        <v>0</v>
      </c>
      <c r="AE63" s="62">
        <f t="shared" si="117"/>
        <v>0</v>
      </c>
      <c r="AF63" s="62">
        <f t="shared" si="117"/>
        <v>440.16</v>
      </c>
      <c r="AG63" s="62">
        <f t="shared" si="117"/>
        <v>0</v>
      </c>
      <c r="AH63" s="60"/>
      <c r="AI63" s="20"/>
    </row>
    <row r="64" spans="1:35" s="22" customFormat="1" ht="35.25" customHeight="1" x14ac:dyDescent="0.25">
      <c r="A64" s="153"/>
      <c r="B64" s="404"/>
      <c r="C64" s="126" t="s">
        <v>21</v>
      </c>
      <c r="D64" s="74">
        <f t="shared" ref="D64" si="118">SUM(J64,L64,N64,P64,R64,T64,V64,X64,Z64,AB64,AD64,AF64)</f>
        <v>602.29999999999995</v>
      </c>
      <c r="E64" s="62">
        <f>J64+L64+N64+P64</f>
        <v>63.320000000000007</v>
      </c>
      <c r="F64" s="62">
        <f t="shared" si="112"/>
        <v>63.320000000000007</v>
      </c>
      <c r="G64" s="62">
        <f t="shared" ref="G64" si="119">SUM(K64,M64,O64,Q64,S64,U64,W64,Y64,AA64,AC64,AE64,AG64)</f>
        <v>63.320000000000007</v>
      </c>
      <c r="H64" s="62">
        <f t="shared" si="113"/>
        <v>10.513033372073719</v>
      </c>
      <c r="I64" s="62">
        <f t="shared" si="114"/>
        <v>100</v>
      </c>
      <c r="J64" s="63">
        <v>27.14</v>
      </c>
      <c r="K64" s="63">
        <v>0</v>
      </c>
      <c r="L64" s="63">
        <v>0</v>
      </c>
      <c r="M64" s="63">
        <v>27.14</v>
      </c>
      <c r="N64" s="63">
        <v>18.09</v>
      </c>
      <c r="O64" s="63">
        <v>18.09</v>
      </c>
      <c r="P64" s="63">
        <v>18.09</v>
      </c>
      <c r="Q64" s="63">
        <v>18.09</v>
      </c>
      <c r="R64" s="63">
        <v>0</v>
      </c>
      <c r="S64" s="63">
        <v>0</v>
      </c>
      <c r="T64" s="63">
        <v>0</v>
      </c>
      <c r="U64" s="63">
        <v>0</v>
      </c>
      <c r="V64" s="63">
        <f>45-18.09</f>
        <v>26.91</v>
      </c>
      <c r="W64" s="63">
        <v>0</v>
      </c>
      <c r="X64" s="63">
        <f>45-18.09</f>
        <v>26.91</v>
      </c>
      <c r="Y64" s="63">
        <v>0</v>
      </c>
      <c r="Z64" s="63">
        <v>0</v>
      </c>
      <c r="AA64" s="63">
        <v>0</v>
      </c>
      <c r="AB64" s="63">
        <v>45</v>
      </c>
      <c r="AC64" s="63">
        <v>0</v>
      </c>
      <c r="AD64" s="63">
        <v>0</v>
      </c>
      <c r="AE64" s="63">
        <v>0</v>
      </c>
      <c r="AF64" s="63">
        <v>440.16</v>
      </c>
      <c r="AG64" s="63">
        <v>0</v>
      </c>
      <c r="AH64" s="60"/>
      <c r="AI64" s="20"/>
    </row>
    <row r="65" spans="1:35" s="22" customFormat="1" ht="38.25" customHeight="1" x14ac:dyDescent="0.25">
      <c r="A65" s="373"/>
      <c r="B65" s="405" t="s">
        <v>256</v>
      </c>
      <c r="C65" s="125" t="s">
        <v>20</v>
      </c>
      <c r="D65" s="70">
        <f>D68+D67+D66</f>
        <v>240922.29300000001</v>
      </c>
      <c r="E65" s="70">
        <f t="shared" ref="E65:G65" si="120">E68+E67+E66</f>
        <v>106813.19700000001</v>
      </c>
      <c r="F65" s="70">
        <f t="shared" si="120"/>
        <v>99146.555999999997</v>
      </c>
      <c r="G65" s="70">
        <f t="shared" si="120"/>
        <v>99146.555999999997</v>
      </c>
      <c r="H65" s="58">
        <f t="shared" si="113"/>
        <v>41.152918962131906</v>
      </c>
      <c r="I65" s="58">
        <f t="shared" si="114"/>
        <v>92.822384110457804</v>
      </c>
      <c r="J65" s="59">
        <f>J68+J67+J66</f>
        <v>13495.745999999999</v>
      </c>
      <c r="K65" s="59">
        <f t="shared" ref="K65:AG65" si="121">K68+K67+K66</f>
        <v>6967.3320000000003</v>
      </c>
      <c r="L65" s="59">
        <f t="shared" si="121"/>
        <v>31844.449999999997</v>
      </c>
      <c r="M65" s="59">
        <f t="shared" si="121"/>
        <v>34115.664000000004</v>
      </c>
      <c r="N65" s="59">
        <f t="shared" si="121"/>
        <v>34334.788</v>
      </c>
      <c r="O65" s="59">
        <f t="shared" si="121"/>
        <v>38194.35</v>
      </c>
      <c r="P65" s="59">
        <f t="shared" si="121"/>
        <v>27138.213</v>
      </c>
      <c r="Q65" s="59">
        <f t="shared" si="121"/>
        <v>19869.21</v>
      </c>
      <c r="R65" s="59">
        <f t="shared" si="121"/>
        <v>27427.764999999999</v>
      </c>
      <c r="S65" s="59">
        <f t="shared" si="121"/>
        <v>0</v>
      </c>
      <c r="T65" s="59">
        <f t="shared" si="121"/>
        <v>11063.804</v>
      </c>
      <c r="U65" s="59">
        <f t="shared" si="121"/>
        <v>0</v>
      </c>
      <c r="V65" s="59">
        <f t="shared" si="121"/>
        <v>0</v>
      </c>
      <c r="W65" s="59">
        <f t="shared" si="121"/>
        <v>0</v>
      </c>
      <c r="X65" s="59">
        <f t="shared" si="121"/>
        <v>0</v>
      </c>
      <c r="Y65" s="59">
        <f t="shared" si="121"/>
        <v>0</v>
      </c>
      <c r="Z65" s="59">
        <f t="shared" si="121"/>
        <v>16342.246000000001</v>
      </c>
      <c r="AA65" s="59">
        <f t="shared" si="121"/>
        <v>0</v>
      </c>
      <c r="AB65" s="59">
        <f t="shared" si="121"/>
        <v>28307.635999999999</v>
      </c>
      <c r="AC65" s="59">
        <f t="shared" si="121"/>
        <v>0</v>
      </c>
      <c r="AD65" s="59">
        <f t="shared" si="121"/>
        <v>27027.771000000001</v>
      </c>
      <c r="AE65" s="59">
        <f t="shared" si="121"/>
        <v>0</v>
      </c>
      <c r="AF65" s="59">
        <f t="shared" si="121"/>
        <v>23939.874000000003</v>
      </c>
      <c r="AG65" s="59">
        <f t="shared" si="121"/>
        <v>0</v>
      </c>
      <c r="AH65" s="60"/>
      <c r="AI65" s="20"/>
    </row>
    <row r="66" spans="1:35" s="22" customFormat="1" ht="38.25" customHeight="1" x14ac:dyDescent="0.25">
      <c r="A66" s="374"/>
      <c r="B66" s="406"/>
      <c r="C66" s="126" t="s">
        <v>52</v>
      </c>
      <c r="D66" s="74">
        <f>SUM(J66,L66,N66,P66,R66,T66,V66,X66,Z66,AB66,AD66,AF66)</f>
        <v>24359.297000000006</v>
      </c>
      <c r="E66" s="62">
        <f>J66+L66+N66+P66</f>
        <v>8233.5970000000016</v>
      </c>
      <c r="F66" s="62">
        <f>G66</f>
        <v>7721.9000000000005</v>
      </c>
      <c r="G66" s="62">
        <f>SUM(K66,M66,O66,Q66,S66,U66,W66,Y66,AA66,AC66,AE66,AG66)</f>
        <v>7721.9000000000005</v>
      </c>
      <c r="H66" s="62">
        <f>IFERROR(G66/D66*100,0)</f>
        <v>31.700011703950238</v>
      </c>
      <c r="I66" s="62">
        <f>IFERROR(G66/E66*100,0)</f>
        <v>93.78525570294488</v>
      </c>
      <c r="J66" s="63"/>
      <c r="K66" s="63">
        <v>0</v>
      </c>
      <c r="L66" s="63">
        <v>2950.25</v>
      </c>
      <c r="M66" s="63">
        <v>2950.25</v>
      </c>
      <c r="N66" s="63">
        <v>2582.19</v>
      </c>
      <c r="O66" s="63">
        <v>2582.19</v>
      </c>
      <c r="P66" s="63">
        <v>2701.1570000000002</v>
      </c>
      <c r="Q66" s="63">
        <v>2189.46</v>
      </c>
      <c r="R66" s="63">
        <v>2562.4679999999998</v>
      </c>
      <c r="S66" s="63">
        <v>0</v>
      </c>
      <c r="T66" s="63">
        <f>1882.74+1346.155</f>
        <v>3228.895</v>
      </c>
      <c r="U66" s="63">
        <v>0</v>
      </c>
      <c r="V66" s="63">
        <v>0</v>
      </c>
      <c r="W66" s="63">
        <v>0</v>
      </c>
      <c r="X66" s="63">
        <v>0</v>
      </c>
      <c r="Y66" s="63">
        <v>0</v>
      </c>
      <c r="Z66" s="63">
        <v>1758.44</v>
      </c>
      <c r="AA66" s="63">
        <v>0</v>
      </c>
      <c r="AB66" s="63">
        <v>3055.9409999999998</v>
      </c>
      <c r="AC66" s="63">
        <v>0</v>
      </c>
      <c r="AD66" s="63">
        <v>2831.2150000000001</v>
      </c>
      <c r="AE66" s="63">
        <v>0</v>
      </c>
      <c r="AF66" s="63">
        <v>2688.741</v>
      </c>
      <c r="AG66" s="63">
        <v>0</v>
      </c>
      <c r="AH66" s="60"/>
      <c r="AI66" s="20"/>
    </row>
    <row r="67" spans="1:35" s="22" customFormat="1" ht="58.5" customHeight="1" x14ac:dyDescent="0.25">
      <c r="A67" s="374"/>
      <c r="B67" s="406"/>
      <c r="C67" s="126" t="s">
        <v>22</v>
      </c>
      <c r="D67" s="74">
        <f>SUM(J67,L67,N67,P67,R67,T67,V67,X67,Z67,AB67,AD67,AF67)</f>
        <v>178449.69899999999</v>
      </c>
      <c r="E67" s="62">
        <f t="shared" ref="E67:E68" si="122">J67+L67+N67+P67</f>
        <v>83373.569000000003</v>
      </c>
      <c r="F67" s="62">
        <f>G67</f>
        <v>76510.44</v>
      </c>
      <c r="G67" s="62">
        <f>SUM(K67,M67,O67,Q67,S67,U67,W67,Y67,AA67,AC67,AE67,AG67)</f>
        <v>76510.44</v>
      </c>
      <c r="H67" s="62">
        <f>IFERROR(G67/D67*100,0)</f>
        <v>42.875073720354109</v>
      </c>
      <c r="I67" s="62">
        <f>IFERROR(G67/E67*100,0)</f>
        <v>91.768219734002258</v>
      </c>
      <c r="J67" s="63">
        <v>10826.804</v>
      </c>
      <c r="K67" s="63">
        <v>5045.0659999999998</v>
      </c>
      <c r="L67" s="63">
        <v>23970.313999999998</v>
      </c>
      <c r="M67" s="63">
        <v>26319.394</v>
      </c>
      <c r="N67" s="63">
        <f>5000+23329.435</f>
        <v>28329.435000000001</v>
      </c>
      <c r="O67" s="63">
        <v>31364.46</v>
      </c>
      <c r="P67" s="63">
        <v>20247.016</v>
      </c>
      <c r="Q67" s="63">
        <v>13781.52</v>
      </c>
      <c r="R67" s="63">
        <v>20800.191999999999</v>
      </c>
      <c r="S67" s="63">
        <v>0</v>
      </c>
      <c r="T67" s="63">
        <f>11518.371-5000</f>
        <v>6518.3709999999992</v>
      </c>
      <c r="U67" s="63">
        <v>0</v>
      </c>
      <c r="V67" s="63">
        <v>0</v>
      </c>
      <c r="W67" s="63">
        <v>0</v>
      </c>
      <c r="X67" s="63">
        <v>0</v>
      </c>
      <c r="Y67" s="63">
        <v>0</v>
      </c>
      <c r="Z67" s="63">
        <v>11748.971</v>
      </c>
      <c r="AA67" s="63">
        <v>0</v>
      </c>
      <c r="AB67" s="63">
        <v>20744.464</v>
      </c>
      <c r="AC67" s="63">
        <v>0</v>
      </c>
      <c r="AD67" s="63">
        <v>20038.042000000001</v>
      </c>
      <c r="AE67" s="63">
        <v>0</v>
      </c>
      <c r="AF67" s="63">
        <v>15226.09</v>
      </c>
      <c r="AG67" s="63">
        <v>0</v>
      </c>
      <c r="AH67" s="63"/>
      <c r="AI67" s="20"/>
    </row>
    <row r="68" spans="1:35" s="22" customFormat="1" ht="45.75" customHeight="1" x14ac:dyDescent="0.25">
      <c r="A68" s="375"/>
      <c r="B68" s="407"/>
      <c r="C68" s="126" t="s">
        <v>21</v>
      </c>
      <c r="D68" s="74">
        <f>SUM(J68,L68,N68,P68,R68,T68,V68,X68,Z68,AB68,AD68,AF68)</f>
        <v>38113.296999999999</v>
      </c>
      <c r="E68" s="62">
        <f t="shared" si="122"/>
        <v>15206.030999999999</v>
      </c>
      <c r="F68" s="62">
        <f>G68</f>
        <v>14914.216</v>
      </c>
      <c r="G68" s="62">
        <f>SUM(K68,M68,O68,Q68,S68,U68,W68,Y68,AA68,AC68,AE68,AG68)</f>
        <v>14914.216</v>
      </c>
      <c r="H68" s="62">
        <f>IFERROR(G68/D68*100,0)</f>
        <v>39.131266969635298</v>
      </c>
      <c r="I68" s="62">
        <f>IFERROR(G68/E68*100,0)</f>
        <v>98.080925916828662</v>
      </c>
      <c r="J68" s="63">
        <v>2668.942</v>
      </c>
      <c r="K68" s="63">
        <v>1922.2660000000001</v>
      </c>
      <c r="L68" s="63">
        <v>4923.8860000000004</v>
      </c>
      <c r="M68" s="63">
        <v>4846.0200000000004</v>
      </c>
      <c r="N68" s="63">
        <f>4459.913-1036.75</f>
        <v>3423.1629999999996</v>
      </c>
      <c r="O68" s="63">
        <v>4247.7</v>
      </c>
      <c r="P68" s="63">
        <v>4190.04</v>
      </c>
      <c r="Q68" s="63">
        <v>3898.23</v>
      </c>
      <c r="R68" s="63">
        <v>4065.105</v>
      </c>
      <c r="S68" s="63">
        <v>0</v>
      </c>
      <c r="T68" s="63">
        <f>2353.288-1036.75</f>
        <v>1316.538</v>
      </c>
      <c r="U68" s="63">
        <v>0</v>
      </c>
      <c r="V68" s="63">
        <v>0</v>
      </c>
      <c r="W68" s="63">
        <v>0</v>
      </c>
      <c r="X68" s="63">
        <v>0</v>
      </c>
      <c r="Y68" s="63">
        <v>0</v>
      </c>
      <c r="Z68" s="63">
        <v>2834.835</v>
      </c>
      <c r="AA68" s="63">
        <v>0</v>
      </c>
      <c r="AB68" s="63">
        <v>4507.2309999999998</v>
      </c>
      <c r="AC68" s="63">
        <v>0</v>
      </c>
      <c r="AD68" s="63">
        <v>4158.5140000000001</v>
      </c>
      <c r="AE68" s="63">
        <v>0</v>
      </c>
      <c r="AF68" s="63">
        <f>2073.5+3951.543</f>
        <v>6025.0429999999997</v>
      </c>
      <c r="AG68" s="63">
        <v>0</v>
      </c>
      <c r="AH68" s="60"/>
      <c r="AI68" s="20"/>
    </row>
    <row r="69" spans="1:35" s="22" customFormat="1" ht="32.25" customHeight="1" x14ac:dyDescent="0.25">
      <c r="A69" s="156"/>
      <c r="B69" s="370" t="s">
        <v>257</v>
      </c>
      <c r="C69" s="371"/>
      <c r="D69" s="371"/>
      <c r="E69" s="371"/>
      <c r="F69" s="371"/>
      <c r="G69" s="371"/>
      <c r="H69" s="371"/>
      <c r="I69" s="371"/>
      <c r="J69" s="371"/>
      <c r="K69" s="371"/>
      <c r="L69" s="371"/>
      <c r="M69" s="371"/>
      <c r="N69" s="371"/>
      <c r="O69" s="371"/>
      <c r="P69" s="371"/>
      <c r="Q69" s="371"/>
      <c r="R69" s="371"/>
      <c r="S69" s="371"/>
      <c r="T69" s="371"/>
      <c r="U69" s="371"/>
      <c r="V69" s="371"/>
      <c r="W69" s="371"/>
      <c r="X69" s="371"/>
      <c r="Y69" s="371"/>
      <c r="Z69" s="371"/>
      <c r="AA69" s="371"/>
      <c r="AB69" s="371"/>
      <c r="AC69" s="371"/>
      <c r="AD69" s="371"/>
      <c r="AE69" s="371"/>
      <c r="AF69" s="371"/>
      <c r="AG69" s="372"/>
      <c r="AH69" s="48"/>
      <c r="AI69" s="20"/>
    </row>
    <row r="70" spans="1:35" s="21" customFormat="1" ht="23.25" customHeight="1" x14ac:dyDescent="0.25">
      <c r="A70" s="373" t="s">
        <v>38</v>
      </c>
      <c r="B70" s="376" t="s">
        <v>258</v>
      </c>
      <c r="C70" s="125" t="s">
        <v>20</v>
      </c>
      <c r="D70" s="70">
        <f>D72+D73+D71</f>
        <v>61415.898000000001</v>
      </c>
      <c r="E70" s="70">
        <f t="shared" ref="E70:G70" si="123">E72+E73+E71</f>
        <v>2047.2289999999998</v>
      </c>
      <c r="F70" s="70">
        <f t="shared" si="123"/>
        <v>13306.353999999999</v>
      </c>
      <c r="G70" s="70">
        <f t="shared" si="123"/>
        <v>13306.353999999999</v>
      </c>
      <c r="H70" s="58">
        <f t="shared" ref="H70:H90" si="124">IFERROR(G70/D70*100,0)</f>
        <v>21.665976454500427</v>
      </c>
      <c r="I70" s="58">
        <f t="shared" ref="I70:I90" si="125">IFERROR(G70/E70*100,0)</f>
        <v>649.96900688687003</v>
      </c>
      <c r="J70" s="58">
        <f t="shared" ref="J70:AG70" si="126">J72+J73+J71</f>
        <v>518.59899999999993</v>
      </c>
      <c r="K70" s="58">
        <f t="shared" si="126"/>
        <v>418.6</v>
      </c>
      <c r="L70" s="58">
        <f t="shared" si="126"/>
        <v>81.510000000000005</v>
      </c>
      <c r="M70" s="58">
        <f t="shared" si="126"/>
        <v>111.495</v>
      </c>
      <c r="N70" s="58">
        <f t="shared" si="126"/>
        <v>1447.12</v>
      </c>
      <c r="O70" s="58">
        <f t="shared" si="126"/>
        <v>1447.1189999999999</v>
      </c>
      <c r="P70" s="58">
        <f t="shared" si="126"/>
        <v>13699.06</v>
      </c>
      <c r="Q70" s="58">
        <f t="shared" si="126"/>
        <v>11329.14</v>
      </c>
      <c r="R70" s="58">
        <f t="shared" si="126"/>
        <v>11715.761</v>
      </c>
      <c r="S70" s="58">
        <f t="shared" si="126"/>
        <v>0</v>
      </c>
      <c r="T70" s="58">
        <f t="shared" si="126"/>
        <v>12653.548000000001</v>
      </c>
      <c r="U70" s="58">
        <f t="shared" si="126"/>
        <v>0</v>
      </c>
      <c r="V70" s="58">
        <f t="shared" si="126"/>
        <v>5925.93</v>
      </c>
      <c r="W70" s="58">
        <f t="shared" si="126"/>
        <v>0</v>
      </c>
      <c r="X70" s="58">
        <f t="shared" si="126"/>
        <v>0</v>
      </c>
      <c r="Y70" s="58">
        <f t="shared" si="126"/>
        <v>0</v>
      </c>
      <c r="Z70" s="58">
        <f t="shared" si="126"/>
        <v>0</v>
      </c>
      <c r="AA70" s="58">
        <f t="shared" si="126"/>
        <v>0</v>
      </c>
      <c r="AB70" s="58">
        <f t="shared" si="126"/>
        <v>0</v>
      </c>
      <c r="AC70" s="58">
        <f t="shared" si="126"/>
        <v>0</v>
      </c>
      <c r="AD70" s="58">
        <f t="shared" si="126"/>
        <v>0</v>
      </c>
      <c r="AE70" s="58">
        <f t="shared" si="126"/>
        <v>0</v>
      </c>
      <c r="AF70" s="58">
        <f t="shared" si="126"/>
        <v>15374.37</v>
      </c>
      <c r="AG70" s="58">
        <f t="shared" si="126"/>
        <v>0</v>
      </c>
      <c r="AH70" s="60"/>
      <c r="AI70" s="23"/>
    </row>
    <row r="71" spans="1:35" s="21" customFormat="1" ht="24.75" hidden="1" customHeight="1" x14ac:dyDescent="0.25">
      <c r="A71" s="374"/>
      <c r="B71" s="377"/>
      <c r="C71" s="126" t="s">
        <v>52</v>
      </c>
      <c r="D71" s="74">
        <f>SUM(J71,L71,N71,P71,R71,T71,V71,X71,Z71,AB71,AD71,AF71)</f>
        <v>0</v>
      </c>
      <c r="E71" s="62">
        <f>J71</f>
        <v>0</v>
      </c>
      <c r="F71" s="62">
        <f>G71</f>
        <v>0</v>
      </c>
      <c r="G71" s="62">
        <f>SUM(K71,M71,O71,Q71,S71,U71,W71,Y71,AA71,AC71,AE71,AG71)</f>
        <v>0</v>
      </c>
      <c r="H71" s="62">
        <f t="shared" si="124"/>
        <v>0</v>
      </c>
      <c r="I71" s="62">
        <f t="shared" si="125"/>
        <v>0</v>
      </c>
      <c r="J71" s="62">
        <f>J75</f>
        <v>0</v>
      </c>
      <c r="K71" s="62">
        <f t="shared" ref="K71:AG72" si="127">K75</f>
        <v>0</v>
      </c>
      <c r="L71" s="62">
        <f t="shared" si="127"/>
        <v>0</v>
      </c>
      <c r="M71" s="62">
        <f t="shared" si="127"/>
        <v>0</v>
      </c>
      <c r="N71" s="62">
        <f t="shared" si="127"/>
        <v>0</v>
      </c>
      <c r="O71" s="62">
        <f t="shared" si="127"/>
        <v>0</v>
      </c>
      <c r="P71" s="62">
        <f t="shared" si="127"/>
        <v>0</v>
      </c>
      <c r="Q71" s="62">
        <f t="shared" si="127"/>
        <v>0</v>
      </c>
      <c r="R71" s="62">
        <f t="shared" si="127"/>
        <v>0</v>
      </c>
      <c r="S71" s="62">
        <f t="shared" si="127"/>
        <v>0</v>
      </c>
      <c r="T71" s="62">
        <f t="shared" si="127"/>
        <v>0</v>
      </c>
      <c r="U71" s="62">
        <f t="shared" si="127"/>
        <v>0</v>
      </c>
      <c r="V71" s="62">
        <f t="shared" si="127"/>
        <v>0</v>
      </c>
      <c r="W71" s="62">
        <f t="shared" si="127"/>
        <v>0</v>
      </c>
      <c r="X71" s="62">
        <f t="shared" si="127"/>
        <v>0</v>
      </c>
      <c r="Y71" s="62">
        <f t="shared" si="127"/>
        <v>0</v>
      </c>
      <c r="Z71" s="62">
        <f t="shared" si="127"/>
        <v>0</v>
      </c>
      <c r="AA71" s="62">
        <f t="shared" si="127"/>
        <v>0</v>
      </c>
      <c r="AB71" s="62">
        <f t="shared" si="127"/>
        <v>0</v>
      </c>
      <c r="AC71" s="62">
        <f t="shared" si="127"/>
        <v>0</v>
      </c>
      <c r="AD71" s="62">
        <f t="shared" si="127"/>
        <v>0</v>
      </c>
      <c r="AE71" s="62">
        <f t="shared" si="127"/>
        <v>0</v>
      </c>
      <c r="AF71" s="62">
        <f t="shared" si="127"/>
        <v>0</v>
      </c>
      <c r="AG71" s="62">
        <f t="shared" si="127"/>
        <v>0</v>
      </c>
      <c r="AH71" s="60"/>
      <c r="AI71" s="23"/>
    </row>
    <row r="72" spans="1:35" s="21" customFormat="1" ht="37.5" customHeight="1" x14ac:dyDescent="0.25">
      <c r="A72" s="374"/>
      <c r="B72" s="377"/>
      <c r="C72" s="126" t="s">
        <v>22</v>
      </c>
      <c r="D72" s="74">
        <f>SUM(J72,L72,N72,P72,R72,T72,V72,X72,Z72,AB72,AD72,AF72)</f>
        <v>39314.599000000002</v>
      </c>
      <c r="E72" s="62">
        <f>J72+L72+N72</f>
        <v>731.29300000000001</v>
      </c>
      <c r="F72" s="62">
        <f>G72</f>
        <v>11990.413999999999</v>
      </c>
      <c r="G72" s="62">
        <f>SUM(K72,M72,O72,Q72,S72,U72,W72,Y72,AA72,AC72,AE72,AG72)</f>
        <v>11990.413999999999</v>
      </c>
      <c r="H72" s="62">
        <f t="shared" si="124"/>
        <v>30.498629783811349</v>
      </c>
      <c r="I72" s="62">
        <f t="shared" si="125"/>
        <v>1639.6183198799931</v>
      </c>
      <c r="J72" s="63">
        <f>J76</f>
        <v>414.19299999999998</v>
      </c>
      <c r="K72" s="63">
        <f t="shared" si="127"/>
        <v>314.19</v>
      </c>
      <c r="L72" s="63">
        <f t="shared" si="127"/>
        <v>81.510000000000005</v>
      </c>
      <c r="M72" s="63">
        <f t="shared" si="127"/>
        <v>111.495</v>
      </c>
      <c r="N72" s="63">
        <f t="shared" si="127"/>
        <v>235.59</v>
      </c>
      <c r="O72" s="63">
        <f t="shared" si="127"/>
        <v>235.589</v>
      </c>
      <c r="P72" s="63">
        <f t="shared" si="127"/>
        <v>13699.06</v>
      </c>
      <c r="Q72" s="63">
        <f t="shared" si="127"/>
        <v>11329.14</v>
      </c>
      <c r="R72" s="63">
        <f t="shared" si="127"/>
        <v>9685.8060000000005</v>
      </c>
      <c r="S72" s="63">
        <f t="shared" si="127"/>
        <v>0</v>
      </c>
      <c r="T72" s="63">
        <f t="shared" si="127"/>
        <v>9926.01</v>
      </c>
      <c r="U72" s="63">
        <f t="shared" si="127"/>
        <v>0</v>
      </c>
      <c r="V72" s="63">
        <f t="shared" si="127"/>
        <v>5272.43</v>
      </c>
      <c r="W72" s="63">
        <f t="shared" si="127"/>
        <v>0</v>
      </c>
      <c r="X72" s="63">
        <f t="shared" si="127"/>
        <v>0</v>
      </c>
      <c r="Y72" s="63">
        <f t="shared" si="127"/>
        <v>0</v>
      </c>
      <c r="Z72" s="63">
        <f t="shared" si="127"/>
        <v>0</v>
      </c>
      <c r="AA72" s="63">
        <f t="shared" si="127"/>
        <v>0</v>
      </c>
      <c r="AB72" s="63">
        <f t="shared" si="127"/>
        <v>0</v>
      </c>
      <c r="AC72" s="63">
        <f t="shared" si="127"/>
        <v>0</v>
      </c>
      <c r="AD72" s="63">
        <f t="shared" si="127"/>
        <v>0</v>
      </c>
      <c r="AE72" s="63">
        <f t="shared" si="127"/>
        <v>0</v>
      </c>
      <c r="AF72" s="63">
        <f t="shared" si="127"/>
        <v>0</v>
      </c>
      <c r="AG72" s="63">
        <f t="shared" si="127"/>
        <v>0</v>
      </c>
      <c r="AH72" s="60"/>
      <c r="AI72" s="23"/>
    </row>
    <row r="73" spans="1:35" s="22" customFormat="1" ht="33" customHeight="1" x14ac:dyDescent="0.25">
      <c r="A73" s="374"/>
      <c r="B73" s="378"/>
      <c r="C73" s="126" t="s">
        <v>21</v>
      </c>
      <c r="D73" s="74">
        <f>SUM(J73,L73,N73,P73,R73,T73,V73,X73,Z73,AB73,AD73,AF73)</f>
        <v>22101.298999999999</v>
      </c>
      <c r="E73" s="62">
        <f>J73+L73+N73</f>
        <v>1315.9359999999999</v>
      </c>
      <c r="F73" s="62">
        <f>G73</f>
        <v>1315.94</v>
      </c>
      <c r="G73" s="62">
        <f>SUM(K73,M73,O73,Q73,S73,U73,W73,Y73,AA73,AC73,AE73,AG73)</f>
        <v>1315.94</v>
      </c>
      <c r="H73" s="62">
        <f t="shared" si="124"/>
        <v>5.9541296645052411</v>
      </c>
      <c r="I73" s="62">
        <f>IFERROR(G73/E73*100,0)</f>
        <v>100.00030396615034</v>
      </c>
      <c r="J73" s="67">
        <f t="shared" ref="J73:AG73" si="128">J78</f>
        <v>104.40600000000001</v>
      </c>
      <c r="K73" s="67">
        <f t="shared" si="128"/>
        <v>104.41</v>
      </c>
      <c r="L73" s="67">
        <f t="shared" si="128"/>
        <v>0</v>
      </c>
      <c r="M73" s="67">
        <f t="shared" si="128"/>
        <v>0</v>
      </c>
      <c r="N73" s="67">
        <f t="shared" si="128"/>
        <v>1211.53</v>
      </c>
      <c r="O73" s="67">
        <f t="shared" si="128"/>
        <v>1211.53</v>
      </c>
      <c r="P73" s="67">
        <f t="shared" si="128"/>
        <v>0</v>
      </c>
      <c r="Q73" s="67">
        <f t="shared" si="128"/>
        <v>0</v>
      </c>
      <c r="R73" s="67">
        <f t="shared" si="128"/>
        <v>2029.9549999999999</v>
      </c>
      <c r="S73" s="67">
        <f t="shared" si="128"/>
        <v>0</v>
      </c>
      <c r="T73" s="67">
        <f t="shared" si="128"/>
        <v>2727.538</v>
      </c>
      <c r="U73" s="67">
        <f t="shared" si="128"/>
        <v>0</v>
      </c>
      <c r="V73" s="67">
        <f t="shared" si="128"/>
        <v>653.5</v>
      </c>
      <c r="W73" s="67">
        <f t="shared" si="128"/>
        <v>0</v>
      </c>
      <c r="X73" s="67">
        <f t="shared" si="128"/>
        <v>0</v>
      </c>
      <c r="Y73" s="67">
        <f t="shared" si="128"/>
        <v>0</v>
      </c>
      <c r="Z73" s="67">
        <f t="shared" si="128"/>
        <v>0</v>
      </c>
      <c r="AA73" s="67">
        <f t="shared" si="128"/>
        <v>0</v>
      </c>
      <c r="AB73" s="67">
        <f t="shared" si="128"/>
        <v>0</v>
      </c>
      <c r="AC73" s="67">
        <f t="shared" si="128"/>
        <v>0</v>
      </c>
      <c r="AD73" s="67">
        <f t="shared" si="128"/>
        <v>0</v>
      </c>
      <c r="AE73" s="67">
        <f t="shared" si="128"/>
        <v>0</v>
      </c>
      <c r="AF73" s="67">
        <f t="shared" si="128"/>
        <v>15374.37</v>
      </c>
      <c r="AG73" s="67">
        <f t="shared" si="128"/>
        <v>0</v>
      </c>
      <c r="AH73" s="64"/>
      <c r="AI73" s="20"/>
    </row>
    <row r="74" spans="1:35" s="21" customFormat="1" ht="72.75" customHeight="1" x14ac:dyDescent="0.25">
      <c r="A74" s="127"/>
      <c r="B74" s="384" t="s">
        <v>259</v>
      </c>
      <c r="C74" s="125" t="s">
        <v>20</v>
      </c>
      <c r="D74" s="70">
        <f>D76+D78+D75+D77</f>
        <v>67315.898000000001</v>
      </c>
      <c r="E74" s="70">
        <f t="shared" ref="E74:G74" si="129">E76+E78+E75+E77</f>
        <v>21646.288999999997</v>
      </c>
      <c r="F74" s="70">
        <f t="shared" si="129"/>
        <v>19206.353999999999</v>
      </c>
      <c r="G74" s="70">
        <f t="shared" si="129"/>
        <v>19206.353999999999</v>
      </c>
      <c r="H74" s="62">
        <f t="shared" si="124"/>
        <v>28.531676127977967</v>
      </c>
      <c r="I74" s="62">
        <f>IFERROR(G74/E74*100,0)</f>
        <v>88.728160286504547</v>
      </c>
      <c r="J74" s="58">
        <f t="shared" ref="J74:AG74" si="130">J76+J78+J75</f>
        <v>518.59899999999993</v>
      </c>
      <c r="K74" s="58">
        <f t="shared" si="130"/>
        <v>418.6</v>
      </c>
      <c r="L74" s="58">
        <f t="shared" si="130"/>
        <v>81.510000000000005</v>
      </c>
      <c r="M74" s="58">
        <f t="shared" si="130"/>
        <v>111.495</v>
      </c>
      <c r="N74" s="58">
        <f t="shared" si="130"/>
        <v>1447.12</v>
      </c>
      <c r="O74" s="58">
        <f t="shared" si="130"/>
        <v>1447.1189999999999</v>
      </c>
      <c r="P74" s="58">
        <f t="shared" si="130"/>
        <v>13699.06</v>
      </c>
      <c r="Q74" s="58">
        <f t="shared" si="130"/>
        <v>11329.14</v>
      </c>
      <c r="R74" s="58">
        <f t="shared" si="130"/>
        <v>11715.761</v>
      </c>
      <c r="S74" s="58">
        <f t="shared" si="130"/>
        <v>0</v>
      </c>
      <c r="T74" s="58">
        <f t="shared" si="130"/>
        <v>12653.548000000001</v>
      </c>
      <c r="U74" s="58">
        <f t="shared" si="130"/>
        <v>0</v>
      </c>
      <c r="V74" s="58">
        <f t="shared" si="130"/>
        <v>5925.93</v>
      </c>
      <c r="W74" s="58">
        <f t="shared" si="130"/>
        <v>0</v>
      </c>
      <c r="X74" s="58">
        <f t="shared" si="130"/>
        <v>0</v>
      </c>
      <c r="Y74" s="58">
        <f t="shared" si="130"/>
        <v>0</v>
      </c>
      <c r="Z74" s="58">
        <f t="shared" si="130"/>
        <v>0</v>
      </c>
      <c r="AA74" s="58">
        <f t="shared" si="130"/>
        <v>0</v>
      </c>
      <c r="AB74" s="58">
        <f t="shared" si="130"/>
        <v>0</v>
      </c>
      <c r="AC74" s="58">
        <f t="shared" si="130"/>
        <v>0</v>
      </c>
      <c r="AD74" s="58">
        <f t="shared" si="130"/>
        <v>0</v>
      </c>
      <c r="AE74" s="58">
        <f t="shared" si="130"/>
        <v>0</v>
      </c>
      <c r="AF74" s="58">
        <f t="shared" si="130"/>
        <v>15374.37</v>
      </c>
      <c r="AG74" s="58">
        <f t="shared" si="130"/>
        <v>0</v>
      </c>
      <c r="AH74" s="60"/>
      <c r="AI74" s="23"/>
    </row>
    <row r="75" spans="1:35" s="21" customFormat="1" ht="36" hidden="1" customHeight="1" x14ac:dyDescent="0.25">
      <c r="A75" s="127"/>
      <c r="B75" s="385"/>
      <c r="C75" s="126" t="s">
        <v>52</v>
      </c>
      <c r="D75" s="74">
        <f>SUM(J75,L75,N75,P75,R75,T75,V75,X75,Z75,AB75,AD75,AF75)</f>
        <v>0</v>
      </c>
      <c r="E75" s="62">
        <f>J75</f>
        <v>0</v>
      </c>
      <c r="F75" s="62">
        <f>G75</f>
        <v>0</v>
      </c>
      <c r="G75" s="62">
        <f>SUM(K75,M75,O75,Q75,S75,U75,W75,Y75,AA75,AC75,AE75,AG75)</f>
        <v>0</v>
      </c>
      <c r="H75" s="62">
        <f t="shared" si="124"/>
        <v>0</v>
      </c>
      <c r="I75" s="62">
        <f t="shared" si="125"/>
        <v>0</v>
      </c>
      <c r="J75" s="62">
        <v>0</v>
      </c>
      <c r="K75" s="62">
        <v>0</v>
      </c>
      <c r="L75" s="62">
        <v>0</v>
      </c>
      <c r="M75" s="62">
        <v>0</v>
      </c>
      <c r="N75" s="62">
        <v>0</v>
      </c>
      <c r="O75" s="62">
        <v>0</v>
      </c>
      <c r="P75" s="62">
        <v>0</v>
      </c>
      <c r="Q75" s="62">
        <v>0</v>
      </c>
      <c r="R75" s="62">
        <v>0</v>
      </c>
      <c r="S75" s="62">
        <v>0</v>
      </c>
      <c r="T75" s="62">
        <v>0</v>
      </c>
      <c r="U75" s="62">
        <v>0</v>
      </c>
      <c r="V75" s="62">
        <v>0</v>
      </c>
      <c r="W75" s="62">
        <v>0</v>
      </c>
      <c r="X75" s="62">
        <v>0</v>
      </c>
      <c r="Y75" s="62">
        <v>0</v>
      </c>
      <c r="Z75" s="62">
        <v>0</v>
      </c>
      <c r="AA75" s="62">
        <v>0</v>
      </c>
      <c r="AB75" s="62">
        <v>0</v>
      </c>
      <c r="AC75" s="62">
        <v>0</v>
      </c>
      <c r="AD75" s="62">
        <v>0</v>
      </c>
      <c r="AE75" s="62">
        <v>0</v>
      </c>
      <c r="AF75" s="62">
        <v>0</v>
      </c>
      <c r="AG75" s="62">
        <v>0</v>
      </c>
      <c r="AH75" s="60"/>
      <c r="AI75" s="23"/>
    </row>
    <row r="76" spans="1:35" s="21" customFormat="1" ht="71.25" customHeight="1" x14ac:dyDescent="0.25">
      <c r="A76" s="127"/>
      <c r="B76" s="385"/>
      <c r="C76" s="126" t="s">
        <v>22</v>
      </c>
      <c r="D76" s="74">
        <f>SUM(J76,L76,N76,P76,R76,T76,V76,X76,Z76,AB76,AD76,AF76)</f>
        <v>39314.599000000002</v>
      </c>
      <c r="E76" s="62">
        <f>J76+L76+N76+P76</f>
        <v>14430.352999999999</v>
      </c>
      <c r="F76" s="62">
        <f>G76</f>
        <v>11990.413999999999</v>
      </c>
      <c r="G76" s="62">
        <f>SUM(K76,M76,O76,Q76,S76,U76,W76,Y76,AA76,AC76,AE76,AG76)</f>
        <v>11990.413999999999</v>
      </c>
      <c r="H76" s="62">
        <f t="shared" si="124"/>
        <v>30.498629783811349</v>
      </c>
      <c r="I76" s="62">
        <f t="shared" si="125"/>
        <v>83.09161944964201</v>
      </c>
      <c r="J76" s="63">
        <v>414.19299999999998</v>
      </c>
      <c r="K76" s="63">
        <v>314.19</v>
      </c>
      <c r="L76" s="63">
        <v>81.510000000000005</v>
      </c>
      <c r="M76" s="63">
        <v>111.495</v>
      </c>
      <c r="N76" s="63">
        <v>235.59</v>
      </c>
      <c r="O76" s="63">
        <v>235.589</v>
      </c>
      <c r="P76" s="63">
        <v>13699.06</v>
      </c>
      <c r="Q76" s="63">
        <v>11329.14</v>
      </c>
      <c r="R76" s="63">
        <v>9685.8060000000005</v>
      </c>
      <c r="S76" s="63">
        <v>0</v>
      </c>
      <c r="T76" s="63">
        <f>10161.6-235.59</f>
        <v>9926.01</v>
      </c>
      <c r="U76" s="63">
        <v>0</v>
      </c>
      <c r="V76" s="63">
        <f>7745.89-2473.46</f>
        <v>5272.43</v>
      </c>
      <c r="W76" s="63">
        <v>0</v>
      </c>
      <c r="X76" s="63">
        <v>0</v>
      </c>
      <c r="Y76" s="63">
        <v>0</v>
      </c>
      <c r="Z76" s="63">
        <v>0</v>
      </c>
      <c r="AA76" s="63">
        <v>0</v>
      </c>
      <c r="AB76" s="63">
        <v>0</v>
      </c>
      <c r="AC76" s="63">
        <v>0</v>
      </c>
      <c r="AD76" s="63">
        <v>0</v>
      </c>
      <c r="AE76" s="63">
        <v>0</v>
      </c>
      <c r="AF76" s="63"/>
      <c r="AG76" s="63">
        <v>0</v>
      </c>
      <c r="AH76" s="60"/>
      <c r="AI76" s="23"/>
    </row>
    <row r="77" spans="1:35" s="21" customFormat="1" ht="71.25" customHeight="1" x14ac:dyDescent="0.25">
      <c r="A77" s="127"/>
      <c r="B77" s="385"/>
      <c r="C77" s="126" t="s">
        <v>368</v>
      </c>
      <c r="D77" s="74">
        <f>SUM(J77,L77,N77,P77,R77,T77,V77,X77,Z77,AB77,AD77,AF77)</f>
        <v>5900</v>
      </c>
      <c r="E77" s="62">
        <f>J77+L77+N77+P77</f>
        <v>5900</v>
      </c>
      <c r="F77" s="62">
        <f>G77</f>
        <v>5900</v>
      </c>
      <c r="G77" s="62">
        <f>SUM(K77,M77,O77,Q77,S77,U77,W77,Y77,AA77,AC77,AE77,AG77)</f>
        <v>5900</v>
      </c>
      <c r="H77" s="62">
        <f t="shared" ref="H77" si="131">IFERROR(G77/D77*100,0)</f>
        <v>100</v>
      </c>
      <c r="I77" s="62">
        <f t="shared" ref="I77" si="132">IFERROR(G77/E77*100,0)</f>
        <v>100</v>
      </c>
      <c r="J77" s="63"/>
      <c r="K77" s="63"/>
      <c r="L77" s="63"/>
      <c r="M77" s="63"/>
      <c r="N77" s="63"/>
      <c r="O77" s="63"/>
      <c r="P77" s="63">
        <v>5900</v>
      </c>
      <c r="Q77" s="63">
        <v>5900</v>
      </c>
      <c r="R77" s="63"/>
      <c r="S77" s="63"/>
      <c r="T77" s="63"/>
      <c r="U77" s="63"/>
      <c r="V77" s="63"/>
      <c r="W77" s="63"/>
      <c r="X77" s="63"/>
      <c r="Y77" s="63"/>
      <c r="Z77" s="63"/>
      <c r="AA77" s="63"/>
      <c r="AB77" s="63"/>
      <c r="AC77" s="63"/>
      <c r="AD77" s="63"/>
      <c r="AE77" s="63"/>
      <c r="AF77" s="63"/>
      <c r="AG77" s="63"/>
      <c r="AH77" s="60"/>
      <c r="AI77" s="23"/>
    </row>
    <row r="78" spans="1:35" s="22" customFormat="1" ht="118.5" customHeight="1" x14ac:dyDescent="0.25">
      <c r="A78" s="127"/>
      <c r="B78" s="408"/>
      <c r="C78" s="126" t="s">
        <v>21</v>
      </c>
      <c r="D78" s="74">
        <f>SUM(J78,L78,N78,P78,R78,T78,V78,X78,Z78,AB78,AD78,AF78)</f>
        <v>22101.298999999999</v>
      </c>
      <c r="E78" s="62">
        <f>J78+L78+N78+P78</f>
        <v>1315.9359999999999</v>
      </c>
      <c r="F78" s="62">
        <f>G78</f>
        <v>1315.94</v>
      </c>
      <c r="G78" s="62">
        <f>SUM(K78,M78,O78,Q78,S78,U78,W78,Y78,AA78,AC78,AE78,AG78)</f>
        <v>1315.94</v>
      </c>
      <c r="H78" s="62">
        <f t="shared" si="124"/>
        <v>5.9541296645052411</v>
      </c>
      <c r="I78" s="62">
        <f t="shared" si="125"/>
        <v>100.00030396615034</v>
      </c>
      <c r="J78" s="67">
        <v>104.40600000000001</v>
      </c>
      <c r="K78" s="67">
        <v>104.41</v>
      </c>
      <c r="L78" s="67">
        <v>0</v>
      </c>
      <c r="M78" s="67">
        <v>0</v>
      </c>
      <c r="N78" s="67">
        <v>1211.53</v>
      </c>
      <c r="O78" s="67">
        <v>1211.53</v>
      </c>
      <c r="P78" s="67">
        <v>0</v>
      </c>
      <c r="Q78" s="67">
        <v>0</v>
      </c>
      <c r="R78" s="67">
        <v>2029.9549999999999</v>
      </c>
      <c r="S78" s="67">
        <v>0</v>
      </c>
      <c r="T78" s="67">
        <v>2727.538</v>
      </c>
      <c r="U78" s="67">
        <v>0</v>
      </c>
      <c r="V78" s="67">
        <v>653.5</v>
      </c>
      <c r="W78" s="67">
        <v>0</v>
      </c>
      <c r="X78" s="67">
        <v>0</v>
      </c>
      <c r="Y78" s="67">
        <v>0</v>
      </c>
      <c r="Z78" s="67">
        <v>0</v>
      </c>
      <c r="AA78" s="67">
        <v>0</v>
      </c>
      <c r="AB78" s="67">
        <v>0</v>
      </c>
      <c r="AC78" s="67">
        <v>0</v>
      </c>
      <c r="AD78" s="67">
        <v>0</v>
      </c>
      <c r="AE78" s="67">
        <v>0</v>
      </c>
      <c r="AF78" s="67">
        <f>16585.9-1211.53</f>
        <v>15374.37</v>
      </c>
      <c r="AG78" s="67">
        <v>0</v>
      </c>
      <c r="AH78" s="64"/>
      <c r="AI78" s="20"/>
    </row>
    <row r="79" spans="1:35" s="30" customFormat="1" ht="27" customHeight="1" x14ac:dyDescent="0.25">
      <c r="A79" s="402" t="s">
        <v>260</v>
      </c>
      <c r="B79" s="409" t="s">
        <v>261</v>
      </c>
      <c r="C79" s="123" t="s">
        <v>20</v>
      </c>
      <c r="D79" s="70">
        <f>D80</f>
        <v>83400.796999999991</v>
      </c>
      <c r="E79" s="70">
        <f t="shared" ref="E79:G79" si="133">E80</f>
        <v>31382.534</v>
      </c>
      <c r="F79" s="70">
        <f t="shared" si="133"/>
        <v>36890.165000000001</v>
      </c>
      <c r="G79" s="70">
        <f t="shared" si="133"/>
        <v>36890.165000000001</v>
      </c>
      <c r="H79" s="70">
        <f t="shared" si="124"/>
        <v>44.232389050190982</v>
      </c>
      <c r="I79" s="70">
        <f t="shared" si="125"/>
        <v>117.54998815583215</v>
      </c>
      <c r="J79" s="71">
        <f t="shared" ref="J79:AG79" si="134">SUM(J80:J80)</f>
        <v>14188.016</v>
      </c>
      <c r="K79" s="71">
        <f t="shared" si="134"/>
        <v>10469.1</v>
      </c>
      <c r="L79" s="71">
        <f t="shared" si="134"/>
        <v>9474.8709999999992</v>
      </c>
      <c r="M79" s="71">
        <f t="shared" si="134"/>
        <v>7833.5049999999992</v>
      </c>
      <c r="N79" s="71">
        <f t="shared" si="134"/>
        <v>7719.646999999999</v>
      </c>
      <c r="O79" s="71">
        <f t="shared" si="134"/>
        <v>8012.85</v>
      </c>
      <c r="P79" s="71">
        <f t="shared" si="134"/>
        <v>10438.242999999999</v>
      </c>
      <c r="Q79" s="71">
        <f t="shared" si="134"/>
        <v>10574.71</v>
      </c>
      <c r="R79" s="71">
        <f t="shared" si="134"/>
        <v>6687.6880000000001</v>
      </c>
      <c r="S79" s="71">
        <f t="shared" si="134"/>
        <v>0</v>
      </c>
      <c r="T79" s="71">
        <f t="shared" si="134"/>
        <v>5031.3909999999996</v>
      </c>
      <c r="U79" s="71">
        <f t="shared" si="134"/>
        <v>0</v>
      </c>
      <c r="V79" s="71">
        <f t="shared" si="134"/>
        <v>180.77099999999999</v>
      </c>
      <c r="W79" s="71">
        <f t="shared" si="134"/>
        <v>0</v>
      </c>
      <c r="X79" s="71">
        <f t="shared" si="134"/>
        <v>182.27199999999999</v>
      </c>
      <c r="Y79" s="71">
        <f t="shared" si="134"/>
        <v>0</v>
      </c>
      <c r="Z79" s="71">
        <f t="shared" si="134"/>
        <v>1686.62</v>
      </c>
      <c r="AA79" s="71">
        <f t="shared" si="134"/>
        <v>0</v>
      </c>
      <c r="AB79" s="71">
        <f t="shared" si="134"/>
        <v>11773.816999999999</v>
      </c>
      <c r="AC79" s="71">
        <f t="shared" si="134"/>
        <v>0</v>
      </c>
      <c r="AD79" s="71">
        <f t="shared" si="134"/>
        <v>5395.8029999999999</v>
      </c>
      <c r="AE79" s="71">
        <f t="shared" si="134"/>
        <v>0</v>
      </c>
      <c r="AF79" s="71">
        <f t="shared" si="134"/>
        <v>10641.657999999999</v>
      </c>
      <c r="AG79" s="71">
        <f t="shared" si="134"/>
        <v>0</v>
      </c>
      <c r="AH79" s="72"/>
      <c r="AI79" s="29"/>
    </row>
    <row r="80" spans="1:35" s="31" customFormat="1" ht="72" customHeight="1" x14ac:dyDescent="0.25">
      <c r="A80" s="403"/>
      <c r="B80" s="410"/>
      <c r="C80" s="124" t="s">
        <v>21</v>
      </c>
      <c r="D80" s="74">
        <f>SUM(J80,L80,N80,P80,R80,T80,V80,X80,Z80,AB80,AD80,AF80)</f>
        <v>83400.796999999991</v>
      </c>
      <c r="E80" s="74">
        <f>J80+L80+N80</f>
        <v>31382.534</v>
      </c>
      <c r="F80" s="74">
        <f>G80</f>
        <v>36890.165000000001</v>
      </c>
      <c r="G80" s="74">
        <f>SUM(K80,M80,O80,Q80,S80,U80,W80,Y80,AA80,AC80,AE80,AG80)</f>
        <v>36890.165000000001</v>
      </c>
      <c r="H80" s="74">
        <f t="shared" si="124"/>
        <v>44.232389050190982</v>
      </c>
      <c r="I80" s="74">
        <f t="shared" si="125"/>
        <v>117.54998815583215</v>
      </c>
      <c r="J80" s="67">
        <f>J82+J84+J86+J88+J90</f>
        <v>14188.016</v>
      </c>
      <c r="K80" s="67">
        <f t="shared" ref="K80:AG80" si="135">K82+K84+K86+K88+K90</f>
        <v>10469.1</v>
      </c>
      <c r="L80" s="67">
        <f t="shared" si="135"/>
        <v>9474.8709999999992</v>
      </c>
      <c r="M80" s="67">
        <f t="shared" si="135"/>
        <v>7833.5049999999992</v>
      </c>
      <c r="N80" s="67">
        <f t="shared" si="135"/>
        <v>7719.646999999999</v>
      </c>
      <c r="O80" s="67">
        <f t="shared" si="135"/>
        <v>8012.85</v>
      </c>
      <c r="P80" s="67">
        <f t="shared" si="135"/>
        <v>10438.242999999999</v>
      </c>
      <c r="Q80" s="67">
        <f t="shared" si="135"/>
        <v>10574.71</v>
      </c>
      <c r="R80" s="67">
        <f t="shared" si="135"/>
        <v>6687.6880000000001</v>
      </c>
      <c r="S80" s="67">
        <f t="shared" si="135"/>
        <v>0</v>
      </c>
      <c r="T80" s="67">
        <f t="shared" si="135"/>
        <v>5031.3909999999996</v>
      </c>
      <c r="U80" s="67">
        <f t="shared" si="135"/>
        <v>0</v>
      </c>
      <c r="V80" s="67">
        <f t="shared" si="135"/>
        <v>180.77099999999999</v>
      </c>
      <c r="W80" s="67">
        <f t="shared" si="135"/>
        <v>0</v>
      </c>
      <c r="X80" s="67">
        <f t="shared" si="135"/>
        <v>182.27199999999999</v>
      </c>
      <c r="Y80" s="67">
        <f t="shared" si="135"/>
        <v>0</v>
      </c>
      <c r="Z80" s="67">
        <f t="shared" si="135"/>
        <v>1686.62</v>
      </c>
      <c r="AA80" s="67">
        <f t="shared" si="135"/>
        <v>0</v>
      </c>
      <c r="AB80" s="67">
        <f t="shared" si="135"/>
        <v>11773.816999999999</v>
      </c>
      <c r="AC80" s="67">
        <f t="shared" si="135"/>
        <v>0</v>
      </c>
      <c r="AD80" s="67">
        <f t="shared" si="135"/>
        <v>5395.8029999999999</v>
      </c>
      <c r="AE80" s="67">
        <f t="shared" si="135"/>
        <v>0</v>
      </c>
      <c r="AF80" s="67">
        <f t="shared" si="135"/>
        <v>10641.657999999999</v>
      </c>
      <c r="AG80" s="67">
        <f t="shared" si="135"/>
        <v>0</v>
      </c>
      <c r="AH80" s="75"/>
      <c r="AI80" s="29"/>
    </row>
    <row r="81" spans="1:35" s="10" customFormat="1" ht="30.75" customHeight="1" x14ac:dyDescent="0.25">
      <c r="A81" s="402"/>
      <c r="B81" s="411" t="s">
        <v>262</v>
      </c>
      <c r="C81" s="123" t="s">
        <v>20</v>
      </c>
      <c r="D81" s="70">
        <f>D82</f>
        <v>12046.900000000001</v>
      </c>
      <c r="E81" s="70">
        <f t="shared" ref="E81:G81" si="136">E82</f>
        <v>9163.42</v>
      </c>
      <c r="F81" s="70">
        <f t="shared" si="136"/>
        <v>9128.9419999999991</v>
      </c>
      <c r="G81" s="70">
        <f t="shared" si="136"/>
        <v>9128.9419999999991</v>
      </c>
      <c r="H81" s="70">
        <f t="shared" si="124"/>
        <v>75.778349616913872</v>
      </c>
      <c r="I81" s="70">
        <f t="shared" si="125"/>
        <v>99.623743100283519</v>
      </c>
      <c r="J81" s="71">
        <f t="shared" ref="J81:AG81" si="137">SUM(J82:J82)</f>
        <v>902.625</v>
      </c>
      <c r="K81" s="71">
        <f t="shared" si="137"/>
        <v>837.72</v>
      </c>
      <c r="L81" s="71">
        <f t="shared" si="137"/>
        <v>3086.0750000000003</v>
      </c>
      <c r="M81" s="71">
        <f t="shared" si="137"/>
        <v>2998.502</v>
      </c>
      <c r="N81" s="71">
        <f t="shared" si="137"/>
        <v>795.5</v>
      </c>
      <c r="O81" s="71">
        <f t="shared" si="137"/>
        <v>826.52</v>
      </c>
      <c r="P81" s="71">
        <f t="shared" si="137"/>
        <v>4379.2199999999993</v>
      </c>
      <c r="Q81" s="71">
        <f t="shared" si="137"/>
        <v>4466.2</v>
      </c>
      <c r="R81" s="71">
        <f t="shared" si="137"/>
        <v>363.6</v>
      </c>
      <c r="S81" s="71">
        <f t="shared" si="137"/>
        <v>0</v>
      </c>
      <c r="T81" s="71">
        <f t="shared" si="137"/>
        <v>145</v>
      </c>
      <c r="U81" s="71">
        <f t="shared" si="137"/>
        <v>0</v>
      </c>
      <c r="V81" s="71">
        <f t="shared" si="137"/>
        <v>0</v>
      </c>
      <c r="W81" s="71">
        <f t="shared" si="137"/>
        <v>0</v>
      </c>
      <c r="X81" s="71">
        <f t="shared" si="137"/>
        <v>0</v>
      </c>
      <c r="Y81" s="71">
        <f t="shared" si="137"/>
        <v>0</v>
      </c>
      <c r="Z81" s="71">
        <f t="shared" si="137"/>
        <v>1350</v>
      </c>
      <c r="AA81" s="71">
        <f t="shared" si="137"/>
        <v>0</v>
      </c>
      <c r="AB81" s="71">
        <f t="shared" si="137"/>
        <v>55</v>
      </c>
      <c r="AC81" s="71">
        <f t="shared" si="137"/>
        <v>0</v>
      </c>
      <c r="AD81" s="71">
        <f t="shared" si="137"/>
        <v>0</v>
      </c>
      <c r="AE81" s="71">
        <f t="shared" si="137"/>
        <v>0</v>
      </c>
      <c r="AF81" s="71">
        <f t="shared" si="137"/>
        <v>969.88000000000056</v>
      </c>
      <c r="AG81" s="71">
        <f t="shared" si="137"/>
        <v>0</v>
      </c>
      <c r="AH81" s="72"/>
    </row>
    <row r="82" spans="1:35" s="10" customFormat="1" ht="41.25" customHeight="1" x14ac:dyDescent="0.25">
      <c r="A82" s="403"/>
      <c r="B82" s="412"/>
      <c r="C82" s="124" t="s">
        <v>21</v>
      </c>
      <c r="D82" s="74">
        <f>SUM(J82,L82,N82,P82,R82,T82,V82,X82,Z82,AB82,AD82,AF82)</f>
        <v>12046.900000000001</v>
      </c>
      <c r="E82" s="74">
        <f>J82+L82+N82+P82</f>
        <v>9163.42</v>
      </c>
      <c r="F82" s="74">
        <f>G82</f>
        <v>9128.9419999999991</v>
      </c>
      <c r="G82" s="74">
        <f>SUM(K82,M82,O82,Q82,S82,U82,W82,Y82,AA82,AC82,AE82,AG82)</f>
        <v>9128.9419999999991</v>
      </c>
      <c r="H82" s="74">
        <f t="shared" si="124"/>
        <v>75.778349616913872</v>
      </c>
      <c r="I82" s="74">
        <f t="shared" si="125"/>
        <v>99.623743100283519</v>
      </c>
      <c r="J82" s="67">
        <v>902.625</v>
      </c>
      <c r="K82" s="67">
        <v>837.72</v>
      </c>
      <c r="L82" s="67">
        <f>216.4+2869.675</f>
        <v>3086.0750000000003</v>
      </c>
      <c r="M82" s="67">
        <v>2998.502</v>
      </c>
      <c r="N82" s="67">
        <f>311+484.5</f>
        <v>795.5</v>
      </c>
      <c r="O82" s="67">
        <f>515.52+311</f>
        <v>826.52</v>
      </c>
      <c r="P82" s="67">
        <f>3894.72+484.5</f>
        <v>4379.2199999999993</v>
      </c>
      <c r="Q82" s="67">
        <v>4466.2</v>
      </c>
      <c r="R82" s="67">
        <f>580-216.4</f>
        <v>363.6</v>
      </c>
      <c r="S82" s="67">
        <v>0</v>
      </c>
      <c r="T82" s="67">
        <v>145</v>
      </c>
      <c r="U82" s="67">
        <v>0</v>
      </c>
      <c r="V82" s="67">
        <v>0</v>
      </c>
      <c r="W82" s="67">
        <v>0</v>
      </c>
      <c r="X82" s="67">
        <v>0</v>
      </c>
      <c r="Y82" s="67">
        <v>0</v>
      </c>
      <c r="Z82" s="67">
        <v>1350</v>
      </c>
      <c r="AA82" s="67">
        <v>0</v>
      </c>
      <c r="AB82" s="67">
        <v>55</v>
      </c>
      <c r="AC82" s="67">
        <v>0</v>
      </c>
      <c r="AD82" s="67">
        <v>0</v>
      </c>
      <c r="AE82" s="67">
        <v>0</v>
      </c>
      <c r="AF82" s="67">
        <f>1753.2+731+2380.4-3894.72</f>
        <v>969.88000000000056</v>
      </c>
      <c r="AG82" s="67">
        <v>0</v>
      </c>
      <c r="AH82" s="75"/>
    </row>
    <row r="83" spans="1:35" s="10" customFormat="1" ht="23.25" customHeight="1" x14ac:dyDescent="0.25">
      <c r="A83" s="402"/>
      <c r="B83" s="386" t="s">
        <v>263</v>
      </c>
      <c r="C83" s="123" t="s">
        <v>20</v>
      </c>
      <c r="D83" s="70">
        <f>D84</f>
        <v>1000</v>
      </c>
      <c r="E83" s="70">
        <f t="shared" ref="E83:G89" si="138">E84</f>
        <v>8.4</v>
      </c>
      <c r="F83" s="70">
        <f t="shared" si="138"/>
        <v>8.4</v>
      </c>
      <c r="G83" s="70">
        <f t="shared" si="138"/>
        <v>8.4</v>
      </c>
      <c r="H83" s="70">
        <f t="shared" si="124"/>
        <v>0.84000000000000008</v>
      </c>
      <c r="I83" s="70">
        <f t="shared" si="125"/>
        <v>100</v>
      </c>
      <c r="J83" s="71">
        <f t="shared" ref="J83:AG89" si="139">SUM(J84:J84)</f>
        <v>0</v>
      </c>
      <c r="K83" s="71">
        <f t="shared" si="139"/>
        <v>0</v>
      </c>
      <c r="L83" s="71">
        <f t="shared" si="139"/>
        <v>0</v>
      </c>
      <c r="M83" s="71">
        <f t="shared" si="139"/>
        <v>0</v>
      </c>
      <c r="N83" s="71">
        <f t="shared" si="139"/>
        <v>8.4</v>
      </c>
      <c r="O83" s="71">
        <f t="shared" si="139"/>
        <v>8.4</v>
      </c>
      <c r="P83" s="71">
        <f t="shared" si="139"/>
        <v>0</v>
      </c>
      <c r="Q83" s="71">
        <f t="shared" si="139"/>
        <v>0</v>
      </c>
      <c r="R83" s="71">
        <f t="shared" si="139"/>
        <v>0</v>
      </c>
      <c r="S83" s="71">
        <f t="shared" si="139"/>
        <v>0</v>
      </c>
      <c r="T83" s="71">
        <f t="shared" si="139"/>
        <v>0</v>
      </c>
      <c r="U83" s="71">
        <f t="shared" si="139"/>
        <v>0</v>
      </c>
      <c r="V83" s="71">
        <f t="shared" si="139"/>
        <v>0</v>
      </c>
      <c r="W83" s="71">
        <f t="shared" si="139"/>
        <v>0</v>
      </c>
      <c r="X83" s="71">
        <f t="shared" si="139"/>
        <v>0</v>
      </c>
      <c r="Y83" s="71">
        <f t="shared" si="139"/>
        <v>0</v>
      </c>
      <c r="Z83" s="71">
        <f t="shared" si="139"/>
        <v>0</v>
      </c>
      <c r="AA83" s="71">
        <f t="shared" si="139"/>
        <v>0</v>
      </c>
      <c r="AB83" s="71">
        <f t="shared" si="139"/>
        <v>991.6</v>
      </c>
      <c r="AC83" s="71">
        <f t="shared" si="139"/>
        <v>0</v>
      </c>
      <c r="AD83" s="71">
        <f t="shared" si="139"/>
        <v>0</v>
      </c>
      <c r="AE83" s="71">
        <f t="shared" si="139"/>
        <v>0</v>
      </c>
      <c r="AF83" s="71">
        <f t="shared" si="139"/>
        <v>0</v>
      </c>
      <c r="AG83" s="71">
        <f t="shared" si="139"/>
        <v>0</v>
      </c>
      <c r="AH83" s="72"/>
    </row>
    <row r="84" spans="1:35" s="10" customFormat="1" ht="67.5" customHeight="1" x14ac:dyDescent="0.25">
      <c r="A84" s="403"/>
      <c r="B84" s="386"/>
      <c r="C84" s="124" t="s">
        <v>21</v>
      </c>
      <c r="D84" s="74">
        <f>SUM(J84,L84,N84,P84,R84,T84,V84,X84,Z84,AB84,AD84,AF84)</f>
        <v>1000</v>
      </c>
      <c r="E84" s="74">
        <f>J84+L84+N84</f>
        <v>8.4</v>
      </c>
      <c r="F84" s="74">
        <f>G84</f>
        <v>8.4</v>
      </c>
      <c r="G84" s="74">
        <f>SUM(K84,M84,O84,Q84,S84,U84,W84,Y84,AA84,AC84,AE84,AG84)</f>
        <v>8.4</v>
      </c>
      <c r="H84" s="74">
        <f t="shared" si="124"/>
        <v>0.84000000000000008</v>
      </c>
      <c r="I84" s="74">
        <f t="shared" si="125"/>
        <v>100</v>
      </c>
      <c r="J84" s="67">
        <v>0</v>
      </c>
      <c r="K84" s="67">
        <v>0</v>
      </c>
      <c r="L84" s="67">
        <v>0</v>
      </c>
      <c r="M84" s="67">
        <v>0</v>
      </c>
      <c r="N84" s="67">
        <v>8.4</v>
      </c>
      <c r="O84" s="67">
        <v>8.4</v>
      </c>
      <c r="P84" s="67">
        <v>0</v>
      </c>
      <c r="Q84" s="67">
        <v>0</v>
      </c>
      <c r="R84" s="67">
        <v>0</v>
      </c>
      <c r="S84" s="67">
        <v>0</v>
      </c>
      <c r="T84" s="67">
        <v>0</v>
      </c>
      <c r="U84" s="67">
        <v>0</v>
      </c>
      <c r="V84" s="67">
        <v>0</v>
      </c>
      <c r="W84" s="67">
        <v>0</v>
      </c>
      <c r="X84" s="67">
        <v>0</v>
      </c>
      <c r="Y84" s="67">
        <v>0</v>
      </c>
      <c r="Z84" s="67">
        <v>0</v>
      </c>
      <c r="AA84" s="67">
        <v>0</v>
      </c>
      <c r="AB84" s="67">
        <f>1000-8.4</f>
        <v>991.6</v>
      </c>
      <c r="AC84" s="67">
        <v>0</v>
      </c>
      <c r="AD84" s="67">
        <v>0</v>
      </c>
      <c r="AE84" s="67">
        <v>0</v>
      </c>
      <c r="AF84" s="67">
        <v>0</v>
      </c>
      <c r="AG84" s="67">
        <v>0</v>
      </c>
      <c r="AH84" s="75"/>
    </row>
    <row r="85" spans="1:35" s="10" customFormat="1" ht="23.25" customHeight="1" x14ac:dyDescent="0.25">
      <c r="A85" s="402"/>
      <c r="B85" s="386" t="s">
        <v>264</v>
      </c>
      <c r="C85" s="123" t="s">
        <v>20</v>
      </c>
      <c r="D85" s="70">
        <f>D86</f>
        <v>6407.2979999999989</v>
      </c>
      <c r="E85" s="70">
        <f t="shared" si="138"/>
        <v>2823.2889999999998</v>
      </c>
      <c r="F85" s="70">
        <f t="shared" si="138"/>
        <v>2823.28</v>
      </c>
      <c r="G85" s="70">
        <f t="shared" si="138"/>
        <v>2823.28</v>
      </c>
      <c r="H85" s="70">
        <f t="shared" si="124"/>
        <v>44.063503835782271</v>
      </c>
      <c r="I85" s="70">
        <f t="shared" si="125"/>
        <v>99.999681222857475</v>
      </c>
      <c r="J85" s="71">
        <f t="shared" si="139"/>
        <v>507.31400000000002</v>
      </c>
      <c r="K85" s="71">
        <f t="shared" si="139"/>
        <v>507.31</v>
      </c>
      <c r="L85" s="71">
        <f t="shared" si="139"/>
        <v>501.56599999999997</v>
      </c>
      <c r="M85" s="71">
        <f t="shared" si="139"/>
        <v>0</v>
      </c>
      <c r="N85" s="71">
        <f t="shared" si="139"/>
        <v>1313.865</v>
      </c>
      <c r="O85" s="71">
        <f t="shared" si="139"/>
        <v>1815.43</v>
      </c>
      <c r="P85" s="71">
        <f t="shared" si="139"/>
        <v>500.54399999999998</v>
      </c>
      <c r="Q85" s="71">
        <f t="shared" si="139"/>
        <v>500.54</v>
      </c>
      <c r="R85" s="71">
        <f t="shared" si="139"/>
        <v>790.45699999999999</v>
      </c>
      <c r="S85" s="71">
        <f t="shared" si="139"/>
        <v>0</v>
      </c>
      <c r="T85" s="71">
        <f t="shared" si="139"/>
        <v>886.39099999999996</v>
      </c>
      <c r="U85" s="71">
        <f t="shared" si="139"/>
        <v>0</v>
      </c>
      <c r="V85" s="71">
        <f t="shared" si="139"/>
        <v>180.77099999999999</v>
      </c>
      <c r="W85" s="71">
        <f t="shared" si="139"/>
        <v>0</v>
      </c>
      <c r="X85" s="71">
        <f t="shared" si="139"/>
        <v>182.27199999999999</v>
      </c>
      <c r="Y85" s="71">
        <f t="shared" si="139"/>
        <v>0</v>
      </c>
      <c r="Z85" s="71">
        <f t="shared" si="139"/>
        <v>336.62</v>
      </c>
      <c r="AA85" s="71">
        <f t="shared" si="139"/>
        <v>0</v>
      </c>
      <c r="AB85" s="71">
        <f t="shared" si="139"/>
        <v>427.21699999999998</v>
      </c>
      <c r="AC85" s="71">
        <f t="shared" si="139"/>
        <v>0</v>
      </c>
      <c r="AD85" s="71">
        <f t="shared" si="139"/>
        <v>395.803</v>
      </c>
      <c r="AE85" s="71">
        <f t="shared" si="139"/>
        <v>0</v>
      </c>
      <c r="AF85" s="71">
        <f t="shared" si="139"/>
        <v>384.47800000000001</v>
      </c>
      <c r="AG85" s="71">
        <f t="shared" si="139"/>
        <v>0</v>
      </c>
      <c r="AH85" s="72"/>
    </row>
    <row r="86" spans="1:35" s="10" customFormat="1" ht="48.75" customHeight="1" x14ac:dyDescent="0.25">
      <c r="A86" s="403"/>
      <c r="B86" s="386"/>
      <c r="C86" s="124" t="s">
        <v>21</v>
      </c>
      <c r="D86" s="74">
        <f>SUM(J86,L86,N86,P86,R86,T86,V86,X86,Z86,AB86,AD86,AF86)</f>
        <v>6407.2979999999989</v>
      </c>
      <c r="E86" s="74">
        <f>J86+L86+N86+P86</f>
        <v>2823.2889999999998</v>
      </c>
      <c r="F86" s="74">
        <f>G86</f>
        <v>2823.28</v>
      </c>
      <c r="G86" s="74">
        <f>SUM(K86,M86,O86,Q86,S86,U86,W86,Y86,AA86,AC86,AE86,AG86)</f>
        <v>2823.28</v>
      </c>
      <c r="H86" s="74">
        <f t="shared" si="124"/>
        <v>44.063503835782271</v>
      </c>
      <c r="I86" s="74">
        <f t="shared" si="125"/>
        <v>99.999681222857475</v>
      </c>
      <c r="J86" s="67">
        <v>507.31400000000002</v>
      </c>
      <c r="K86" s="67">
        <v>507.31</v>
      </c>
      <c r="L86" s="67">
        <v>501.56599999999997</v>
      </c>
      <c r="M86" s="67">
        <v>0</v>
      </c>
      <c r="N86" s="67">
        <f>812.3+501.565</f>
        <v>1313.865</v>
      </c>
      <c r="O86" s="67">
        <v>1815.43</v>
      </c>
      <c r="P86" s="67">
        <v>500.54399999999998</v>
      </c>
      <c r="Q86" s="67">
        <v>500.54</v>
      </c>
      <c r="R86" s="67">
        <v>790.45699999999999</v>
      </c>
      <c r="S86" s="67">
        <v>0</v>
      </c>
      <c r="T86" s="67">
        <v>886.39099999999996</v>
      </c>
      <c r="U86" s="67">
        <v>0</v>
      </c>
      <c r="V86" s="67">
        <v>180.77099999999999</v>
      </c>
      <c r="W86" s="67">
        <v>0</v>
      </c>
      <c r="X86" s="67">
        <v>182.27199999999999</v>
      </c>
      <c r="Y86" s="67">
        <v>0</v>
      </c>
      <c r="Z86" s="67">
        <v>336.62</v>
      </c>
      <c r="AA86" s="67">
        <v>0</v>
      </c>
      <c r="AB86" s="67">
        <v>427.21699999999998</v>
      </c>
      <c r="AC86" s="67">
        <v>0</v>
      </c>
      <c r="AD86" s="67">
        <v>395.803</v>
      </c>
      <c r="AE86" s="67">
        <v>0</v>
      </c>
      <c r="AF86" s="67">
        <v>384.47800000000001</v>
      </c>
      <c r="AG86" s="67">
        <v>0</v>
      </c>
      <c r="AH86" s="75"/>
    </row>
    <row r="87" spans="1:35" s="10" customFormat="1" ht="23.25" customHeight="1" x14ac:dyDescent="0.25">
      <c r="A87" s="402"/>
      <c r="B87" s="386" t="s">
        <v>265</v>
      </c>
      <c r="C87" s="123" t="s">
        <v>20</v>
      </c>
      <c r="D87" s="70">
        <f>D88</f>
        <v>56087.298999999999</v>
      </c>
      <c r="E87" s="70">
        <f t="shared" si="138"/>
        <v>21966.367999999999</v>
      </c>
      <c r="F87" s="70">
        <f t="shared" si="138"/>
        <v>17070.242999999999</v>
      </c>
      <c r="G87" s="70">
        <f t="shared" si="138"/>
        <v>17070.242999999999</v>
      </c>
      <c r="H87" s="70">
        <f t="shared" si="124"/>
        <v>30.435131133699265</v>
      </c>
      <c r="I87" s="70">
        <f t="shared" si="125"/>
        <v>77.710812274473412</v>
      </c>
      <c r="J87" s="71">
        <f t="shared" si="139"/>
        <v>4918.777</v>
      </c>
      <c r="K87" s="71">
        <f t="shared" si="139"/>
        <v>1264.77</v>
      </c>
      <c r="L87" s="71">
        <f t="shared" si="139"/>
        <v>5887.23</v>
      </c>
      <c r="M87" s="71">
        <f t="shared" si="139"/>
        <v>4835.0029999999997</v>
      </c>
      <c r="N87" s="71">
        <f t="shared" si="139"/>
        <v>5601.8819999999996</v>
      </c>
      <c r="O87" s="71">
        <f t="shared" si="139"/>
        <v>5362.5</v>
      </c>
      <c r="P87" s="71">
        <f t="shared" si="139"/>
        <v>5558.4790000000003</v>
      </c>
      <c r="Q87" s="71">
        <f t="shared" si="139"/>
        <v>5607.97</v>
      </c>
      <c r="R87" s="71">
        <f t="shared" si="139"/>
        <v>5533.6310000000003</v>
      </c>
      <c r="S87" s="71">
        <f t="shared" si="139"/>
        <v>0</v>
      </c>
      <c r="T87" s="71">
        <f t="shared" si="139"/>
        <v>4000</v>
      </c>
      <c r="U87" s="71">
        <f t="shared" si="139"/>
        <v>0</v>
      </c>
      <c r="V87" s="71">
        <f t="shared" si="139"/>
        <v>0</v>
      </c>
      <c r="W87" s="71">
        <f t="shared" si="139"/>
        <v>0</v>
      </c>
      <c r="X87" s="71">
        <f t="shared" si="139"/>
        <v>0</v>
      </c>
      <c r="Y87" s="71">
        <f t="shared" si="139"/>
        <v>0</v>
      </c>
      <c r="Z87" s="71">
        <f t="shared" si="139"/>
        <v>0</v>
      </c>
      <c r="AA87" s="71">
        <f t="shared" si="139"/>
        <v>0</v>
      </c>
      <c r="AB87" s="71">
        <f t="shared" si="139"/>
        <v>10300</v>
      </c>
      <c r="AC87" s="71">
        <f t="shared" si="139"/>
        <v>0</v>
      </c>
      <c r="AD87" s="71">
        <f t="shared" si="139"/>
        <v>5000</v>
      </c>
      <c r="AE87" s="71">
        <f t="shared" si="139"/>
        <v>0</v>
      </c>
      <c r="AF87" s="71">
        <f t="shared" si="139"/>
        <v>9287.2999999999993</v>
      </c>
      <c r="AG87" s="71">
        <f t="shared" si="139"/>
        <v>0</v>
      </c>
      <c r="AH87" s="72"/>
    </row>
    <row r="88" spans="1:35" s="10" customFormat="1" ht="41.25" customHeight="1" x14ac:dyDescent="0.25">
      <c r="A88" s="403"/>
      <c r="B88" s="386"/>
      <c r="C88" s="124" t="s">
        <v>21</v>
      </c>
      <c r="D88" s="74">
        <f>SUM(J88,L88,N88,P88,R88,T88,V88,X88,Z88,AB88,AD88,AF88)</f>
        <v>56087.298999999999</v>
      </c>
      <c r="E88" s="74">
        <f>J88+L88+N88+P88</f>
        <v>21966.367999999999</v>
      </c>
      <c r="F88" s="74">
        <f>G88</f>
        <v>17070.242999999999</v>
      </c>
      <c r="G88" s="74">
        <f>SUM(K88,M88,O88,Q88,S88,U88,W88,Y88,AA88,AC88,AE88,AG88)</f>
        <v>17070.242999999999</v>
      </c>
      <c r="H88" s="74">
        <f t="shared" si="124"/>
        <v>30.435131133699265</v>
      </c>
      <c r="I88" s="74">
        <f t="shared" si="125"/>
        <v>77.710812274473412</v>
      </c>
      <c r="J88" s="67">
        <v>4918.777</v>
      </c>
      <c r="K88" s="67">
        <v>1264.77</v>
      </c>
      <c r="L88" s="67">
        <v>5887.23</v>
      </c>
      <c r="M88" s="67">
        <v>4835.0029999999997</v>
      </c>
      <c r="N88" s="67">
        <v>5601.8819999999996</v>
      </c>
      <c r="O88" s="67">
        <v>5362.5</v>
      </c>
      <c r="P88" s="67">
        <v>5558.4790000000003</v>
      </c>
      <c r="Q88" s="67">
        <v>5607.97</v>
      </c>
      <c r="R88" s="67">
        <v>5533.6310000000003</v>
      </c>
      <c r="S88" s="67">
        <v>0</v>
      </c>
      <c r="T88" s="67">
        <v>4000</v>
      </c>
      <c r="U88" s="67">
        <v>0</v>
      </c>
      <c r="V88" s="67">
        <v>0</v>
      </c>
      <c r="W88" s="67">
        <v>0</v>
      </c>
      <c r="X88" s="67">
        <v>0</v>
      </c>
      <c r="Y88" s="67">
        <v>0</v>
      </c>
      <c r="Z88" s="67">
        <v>0</v>
      </c>
      <c r="AA88" s="67">
        <v>0</v>
      </c>
      <c r="AB88" s="67">
        <v>10300</v>
      </c>
      <c r="AC88" s="67">
        <v>0</v>
      </c>
      <c r="AD88" s="67">
        <v>5000</v>
      </c>
      <c r="AE88" s="67">
        <v>0</v>
      </c>
      <c r="AF88" s="67">
        <v>9287.2999999999993</v>
      </c>
      <c r="AG88" s="67">
        <v>0</v>
      </c>
      <c r="AH88" s="75"/>
    </row>
    <row r="89" spans="1:35" s="10" customFormat="1" ht="23.25" customHeight="1" x14ac:dyDescent="0.25">
      <c r="A89" s="402"/>
      <c r="B89" s="386" t="s">
        <v>266</v>
      </c>
      <c r="C89" s="123" t="s">
        <v>20</v>
      </c>
      <c r="D89" s="70">
        <f>D90</f>
        <v>7859.3</v>
      </c>
      <c r="E89" s="70">
        <f t="shared" si="138"/>
        <v>7859.3</v>
      </c>
      <c r="F89" s="70">
        <f t="shared" si="138"/>
        <v>7859.3</v>
      </c>
      <c r="G89" s="70">
        <f t="shared" si="138"/>
        <v>7859.3</v>
      </c>
      <c r="H89" s="70">
        <f t="shared" si="124"/>
        <v>100</v>
      </c>
      <c r="I89" s="70">
        <f t="shared" si="125"/>
        <v>100</v>
      </c>
      <c r="J89" s="71">
        <f t="shared" si="139"/>
        <v>7859.3</v>
      </c>
      <c r="K89" s="71">
        <f t="shared" si="139"/>
        <v>7859.3</v>
      </c>
      <c r="L89" s="71">
        <f t="shared" si="139"/>
        <v>0</v>
      </c>
      <c r="M89" s="71">
        <f t="shared" si="139"/>
        <v>0</v>
      </c>
      <c r="N89" s="71">
        <f t="shared" si="139"/>
        <v>0</v>
      </c>
      <c r="O89" s="71">
        <f t="shared" si="139"/>
        <v>0</v>
      </c>
      <c r="P89" s="71">
        <f t="shared" si="139"/>
        <v>0</v>
      </c>
      <c r="Q89" s="71">
        <f t="shared" si="139"/>
        <v>0</v>
      </c>
      <c r="R89" s="71">
        <f t="shared" si="139"/>
        <v>0</v>
      </c>
      <c r="S89" s="71">
        <f t="shared" si="139"/>
        <v>0</v>
      </c>
      <c r="T89" s="71">
        <f t="shared" si="139"/>
        <v>0</v>
      </c>
      <c r="U89" s="71">
        <f t="shared" si="139"/>
        <v>0</v>
      </c>
      <c r="V89" s="71">
        <f t="shared" si="139"/>
        <v>0</v>
      </c>
      <c r="W89" s="71">
        <f t="shared" si="139"/>
        <v>0</v>
      </c>
      <c r="X89" s="71">
        <f t="shared" si="139"/>
        <v>0</v>
      </c>
      <c r="Y89" s="71">
        <f t="shared" si="139"/>
        <v>0</v>
      </c>
      <c r="Z89" s="71">
        <f t="shared" si="139"/>
        <v>0</v>
      </c>
      <c r="AA89" s="71">
        <f t="shared" si="139"/>
        <v>0</v>
      </c>
      <c r="AB89" s="71">
        <f t="shared" si="139"/>
        <v>0</v>
      </c>
      <c r="AC89" s="71">
        <f t="shared" si="139"/>
        <v>0</v>
      </c>
      <c r="AD89" s="71">
        <f t="shared" si="139"/>
        <v>0</v>
      </c>
      <c r="AE89" s="71">
        <f t="shared" si="139"/>
        <v>0</v>
      </c>
      <c r="AF89" s="71">
        <f t="shared" si="139"/>
        <v>0</v>
      </c>
      <c r="AG89" s="71">
        <f t="shared" si="139"/>
        <v>0</v>
      </c>
      <c r="AH89" s="72"/>
    </row>
    <row r="90" spans="1:35" s="10" customFormat="1" ht="41.25" customHeight="1" x14ac:dyDescent="0.25">
      <c r="A90" s="403"/>
      <c r="B90" s="386"/>
      <c r="C90" s="124" t="s">
        <v>21</v>
      </c>
      <c r="D90" s="74">
        <f>SUM(J90,L90,N90,P90,R90,T90,V90,X90,Z90,AB90,AD90,AF90)</f>
        <v>7859.3</v>
      </c>
      <c r="E90" s="74">
        <f>J90</f>
        <v>7859.3</v>
      </c>
      <c r="F90" s="74">
        <f>G90</f>
        <v>7859.3</v>
      </c>
      <c r="G90" s="74">
        <f>SUM(K90,M90,O90,Q90,S90,U90,W90,Y90,AA90,AC90,AE90,AG90)</f>
        <v>7859.3</v>
      </c>
      <c r="H90" s="74">
        <f t="shared" si="124"/>
        <v>100</v>
      </c>
      <c r="I90" s="74">
        <f t="shared" si="125"/>
        <v>100</v>
      </c>
      <c r="J90" s="67">
        <v>7859.3</v>
      </c>
      <c r="K90" s="67">
        <v>7859.3</v>
      </c>
      <c r="L90" s="67">
        <v>0</v>
      </c>
      <c r="M90" s="67">
        <v>0</v>
      </c>
      <c r="N90" s="67">
        <v>0</v>
      </c>
      <c r="O90" s="67">
        <v>0</v>
      </c>
      <c r="P90" s="67">
        <v>0</v>
      </c>
      <c r="Q90" s="67">
        <v>0</v>
      </c>
      <c r="R90" s="67">
        <v>0</v>
      </c>
      <c r="S90" s="67">
        <v>0</v>
      </c>
      <c r="T90" s="67">
        <v>0</v>
      </c>
      <c r="U90" s="67">
        <v>0</v>
      </c>
      <c r="V90" s="67">
        <v>0</v>
      </c>
      <c r="W90" s="67">
        <v>0</v>
      </c>
      <c r="X90" s="67">
        <v>0</v>
      </c>
      <c r="Y90" s="67">
        <v>0</v>
      </c>
      <c r="Z90" s="67">
        <v>0</v>
      </c>
      <c r="AA90" s="67">
        <v>0</v>
      </c>
      <c r="AB90" s="67">
        <v>0</v>
      </c>
      <c r="AC90" s="67">
        <v>0</v>
      </c>
      <c r="AD90" s="67">
        <v>0</v>
      </c>
      <c r="AE90" s="67">
        <v>0</v>
      </c>
      <c r="AF90" s="67">
        <v>0</v>
      </c>
      <c r="AG90" s="67">
        <v>0</v>
      </c>
      <c r="AH90" s="75"/>
    </row>
    <row r="91" spans="1:35" s="10" customFormat="1" ht="33" customHeight="1" x14ac:dyDescent="0.25">
      <c r="A91" s="154"/>
      <c r="B91" s="370" t="s">
        <v>32</v>
      </c>
      <c r="C91" s="371"/>
      <c r="D91" s="371"/>
      <c r="E91" s="371"/>
      <c r="F91" s="371"/>
      <c r="G91" s="371"/>
      <c r="H91" s="371"/>
      <c r="I91" s="371"/>
      <c r="J91" s="371"/>
      <c r="K91" s="371"/>
      <c r="L91" s="371"/>
      <c r="M91" s="371"/>
      <c r="N91" s="371"/>
      <c r="O91" s="371"/>
      <c r="P91" s="371"/>
      <c r="Q91" s="371"/>
      <c r="R91" s="371"/>
      <c r="S91" s="371"/>
      <c r="T91" s="371"/>
      <c r="U91" s="371"/>
      <c r="V91" s="371"/>
      <c r="W91" s="371"/>
      <c r="X91" s="371"/>
      <c r="Y91" s="371"/>
      <c r="Z91" s="371"/>
      <c r="AA91" s="371"/>
      <c r="AB91" s="371"/>
      <c r="AC91" s="371"/>
      <c r="AD91" s="371"/>
      <c r="AE91" s="371"/>
      <c r="AF91" s="371"/>
      <c r="AG91" s="372"/>
      <c r="AH91" s="75"/>
    </row>
    <row r="92" spans="1:35" s="30" customFormat="1" ht="55.5" customHeight="1" x14ac:dyDescent="0.25">
      <c r="A92" s="402" t="s">
        <v>267</v>
      </c>
      <c r="B92" s="409" t="s">
        <v>268</v>
      </c>
      <c r="C92" s="123" t="s">
        <v>20</v>
      </c>
      <c r="D92" s="70">
        <f>D93</f>
        <v>71939.016000000003</v>
      </c>
      <c r="E92" s="70">
        <f t="shared" ref="E92:G92" si="140">E93</f>
        <v>7579.8529999999992</v>
      </c>
      <c r="F92" s="70">
        <f t="shared" si="140"/>
        <v>7579.8530000000001</v>
      </c>
      <c r="G92" s="70">
        <f t="shared" si="140"/>
        <v>7579.8530000000001</v>
      </c>
      <c r="H92" s="70">
        <f t="shared" ref="H92:H97" si="141">IFERROR(G92/D92*100,0)</f>
        <v>10.536498024938233</v>
      </c>
      <c r="I92" s="70">
        <f t="shared" ref="I92:I97" si="142">IFERROR(G92/E92*100,0)</f>
        <v>100.00000000000003</v>
      </c>
      <c r="J92" s="71">
        <f t="shared" ref="J92:AG92" si="143">SUM(J93:J93)</f>
        <v>2080.7109999999998</v>
      </c>
      <c r="K92" s="71">
        <f t="shared" si="143"/>
        <v>2080.71</v>
      </c>
      <c r="L92" s="71">
        <f t="shared" si="143"/>
        <v>2341.0619999999999</v>
      </c>
      <c r="M92" s="71">
        <f t="shared" si="143"/>
        <v>2341.0630000000001</v>
      </c>
      <c r="N92" s="71">
        <f t="shared" si="143"/>
        <v>3158.08</v>
      </c>
      <c r="O92" s="71">
        <f t="shared" si="143"/>
        <v>3158.08</v>
      </c>
      <c r="P92" s="71">
        <f t="shared" si="143"/>
        <v>500</v>
      </c>
      <c r="Q92" s="71">
        <f t="shared" si="143"/>
        <v>0</v>
      </c>
      <c r="R92" s="71">
        <f t="shared" si="143"/>
        <v>0</v>
      </c>
      <c r="S92" s="71">
        <f t="shared" si="143"/>
        <v>0</v>
      </c>
      <c r="T92" s="71">
        <f t="shared" si="143"/>
        <v>1297.72</v>
      </c>
      <c r="U92" s="71">
        <f t="shared" si="143"/>
        <v>0</v>
      </c>
      <c r="V92" s="71">
        <f t="shared" si="143"/>
        <v>0</v>
      </c>
      <c r="W92" s="71">
        <f t="shared" si="143"/>
        <v>0</v>
      </c>
      <c r="X92" s="71">
        <f t="shared" si="143"/>
        <v>58872.184999999998</v>
      </c>
      <c r="Y92" s="71">
        <f t="shared" si="143"/>
        <v>0</v>
      </c>
      <c r="Z92" s="71">
        <f t="shared" si="143"/>
        <v>0</v>
      </c>
      <c r="AA92" s="71">
        <f t="shared" si="143"/>
        <v>0</v>
      </c>
      <c r="AB92" s="71">
        <f t="shared" si="143"/>
        <v>0</v>
      </c>
      <c r="AC92" s="71">
        <f t="shared" si="143"/>
        <v>0</v>
      </c>
      <c r="AD92" s="71">
        <f t="shared" si="143"/>
        <v>0</v>
      </c>
      <c r="AE92" s="71">
        <f t="shared" si="143"/>
        <v>0</v>
      </c>
      <c r="AF92" s="71">
        <f t="shared" si="143"/>
        <v>3689.2579999999998</v>
      </c>
      <c r="AG92" s="71">
        <f t="shared" si="143"/>
        <v>0</v>
      </c>
      <c r="AH92" s="72"/>
      <c r="AI92" s="29"/>
    </row>
    <row r="93" spans="1:35" s="31" customFormat="1" ht="78.75" customHeight="1" x14ac:dyDescent="0.25">
      <c r="A93" s="403"/>
      <c r="B93" s="410"/>
      <c r="C93" s="124" t="s">
        <v>21</v>
      </c>
      <c r="D93" s="74">
        <f>SUM(J93,L93,N93,P93,R93,T93,V93,X93,Z93,AB93,AD93,AF93)</f>
        <v>71939.016000000003</v>
      </c>
      <c r="E93" s="74">
        <f>J93+L93+N93</f>
        <v>7579.8529999999992</v>
      </c>
      <c r="F93" s="74">
        <f>G93</f>
        <v>7579.8530000000001</v>
      </c>
      <c r="G93" s="74">
        <f>SUM(K93,M93,O93,Q93,S93,U93,W93,Y93,AA93,AC93,AE93,AG93)</f>
        <v>7579.8530000000001</v>
      </c>
      <c r="H93" s="74">
        <f t="shared" si="141"/>
        <v>10.536498024938233</v>
      </c>
      <c r="I93" s="74">
        <f>IFERROR(G93/E93*100,0)</f>
        <v>100.00000000000003</v>
      </c>
      <c r="J93" s="67">
        <f>J95+J97</f>
        <v>2080.7109999999998</v>
      </c>
      <c r="K93" s="67">
        <f t="shared" ref="K93:AG93" si="144">K95+K97</f>
        <v>2080.71</v>
      </c>
      <c r="L93" s="67">
        <f t="shared" si="144"/>
        <v>2341.0619999999999</v>
      </c>
      <c r="M93" s="67">
        <f t="shared" si="144"/>
        <v>2341.0630000000001</v>
      </c>
      <c r="N93" s="67">
        <f t="shared" si="144"/>
        <v>3158.08</v>
      </c>
      <c r="O93" s="67">
        <f t="shared" si="144"/>
        <v>3158.08</v>
      </c>
      <c r="P93" s="67">
        <f t="shared" si="144"/>
        <v>500</v>
      </c>
      <c r="Q93" s="67">
        <f t="shared" si="144"/>
        <v>0</v>
      </c>
      <c r="R93" s="67">
        <f t="shared" si="144"/>
        <v>0</v>
      </c>
      <c r="S93" s="67">
        <f t="shared" si="144"/>
        <v>0</v>
      </c>
      <c r="T93" s="67">
        <f t="shared" si="144"/>
        <v>1297.72</v>
      </c>
      <c r="U93" s="67">
        <f t="shared" si="144"/>
        <v>0</v>
      </c>
      <c r="V93" s="67">
        <f t="shared" si="144"/>
        <v>0</v>
      </c>
      <c r="W93" s="67">
        <f t="shared" si="144"/>
        <v>0</v>
      </c>
      <c r="X93" s="67">
        <f t="shared" si="144"/>
        <v>58872.184999999998</v>
      </c>
      <c r="Y93" s="67">
        <f t="shared" si="144"/>
        <v>0</v>
      </c>
      <c r="Z93" s="67">
        <f t="shared" si="144"/>
        <v>0</v>
      </c>
      <c r="AA93" s="67">
        <f t="shared" si="144"/>
        <v>0</v>
      </c>
      <c r="AB93" s="67">
        <f t="shared" si="144"/>
        <v>0</v>
      </c>
      <c r="AC93" s="67">
        <f t="shared" si="144"/>
        <v>0</v>
      </c>
      <c r="AD93" s="67">
        <f t="shared" si="144"/>
        <v>0</v>
      </c>
      <c r="AE93" s="67">
        <f t="shared" si="144"/>
        <v>0</v>
      </c>
      <c r="AF93" s="67">
        <f t="shared" si="144"/>
        <v>3689.2579999999998</v>
      </c>
      <c r="AG93" s="67">
        <f t="shared" si="144"/>
        <v>0</v>
      </c>
      <c r="AH93" s="75"/>
      <c r="AI93" s="29"/>
    </row>
    <row r="94" spans="1:35" s="10" customFormat="1" ht="60" customHeight="1" x14ac:dyDescent="0.25">
      <c r="A94" s="402"/>
      <c r="B94" s="411" t="s">
        <v>269</v>
      </c>
      <c r="C94" s="123" t="s">
        <v>20</v>
      </c>
      <c r="D94" s="70">
        <f>D95</f>
        <v>62555.202999999994</v>
      </c>
      <c r="E94" s="70">
        <f t="shared" ref="E94:G94" si="145">E95</f>
        <v>7579.8529999999992</v>
      </c>
      <c r="F94" s="70">
        <f t="shared" si="145"/>
        <v>7579.8530000000001</v>
      </c>
      <c r="G94" s="70">
        <f t="shared" si="145"/>
        <v>7579.8530000000001</v>
      </c>
      <c r="H94" s="70">
        <f t="shared" si="141"/>
        <v>12.11706242884385</v>
      </c>
      <c r="I94" s="70">
        <f t="shared" si="142"/>
        <v>100.00000000000003</v>
      </c>
      <c r="J94" s="71">
        <f t="shared" ref="J94:AG94" si="146">SUM(J95:J95)</f>
        <v>2080.7109999999998</v>
      </c>
      <c r="K94" s="71">
        <f t="shared" si="146"/>
        <v>2080.71</v>
      </c>
      <c r="L94" s="71">
        <f t="shared" si="146"/>
        <v>2341.0619999999999</v>
      </c>
      <c r="M94" s="71">
        <f t="shared" si="146"/>
        <v>2341.0630000000001</v>
      </c>
      <c r="N94" s="71">
        <f t="shared" si="146"/>
        <v>3158.08</v>
      </c>
      <c r="O94" s="71">
        <f t="shared" si="146"/>
        <v>3158.08</v>
      </c>
      <c r="P94" s="71">
        <f t="shared" si="146"/>
        <v>500</v>
      </c>
      <c r="Q94" s="71">
        <f t="shared" si="146"/>
        <v>0</v>
      </c>
      <c r="R94" s="71">
        <f t="shared" si="146"/>
        <v>0</v>
      </c>
      <c r="S94" s="71">
        <f t="shared" si="146"/>
        <v>0</v>
      </c>
      <c r="T94" s="71">
        <f t="shared" si="146"/>
        <v>1297.72</v>
      </c>
      <c r="U94" s="71">
        <f t="shared" si="146"/>
        <v>0</v>
      </c>
      <c r="V94" s="71">
        <f t="shared" si="146"/>
        <v>0</v>
      </c>
      <c r="W94" s="71">
        <f t="shared" si="146"/>
        <v>0</v>
      </c>
      <c r="X94" s="71">
        <f t="shared" si="146"/>
        <v>53177.63</v>
      </c>
      <c r="Y94" s="71">
        <f t="shared" si="146"/>
        <v>0</v>
      </c>
      <c r="Z94" s="71">
        <f t="shared" si="146"/>
        <v>0</v>
      </c>
      <c r="AA94" s="71">
        <f t="shared" si="146"/>
        <v>0</v>
      </c>
      <c r="AB94" s="71">
        <f t="shared" si="146"/>
        <v>0</v>
      </c>
      <c r="AC94" s="71">
        <f t="shared" si="146"/>
        <v>0</v>
      </c>
      <c r="AD94" s="71">
        <f t="shared" si="146"/>
        <v>0</v>
      </c>
      <c r="AE94" s="71">
        <f t="shared" si="146"/>
        <v>0</v>
      </c>
      <c r="AF94" s="71">
        <f t="shared" si="146"/>
        <v>0</v>
      </c>
      <c r="AG94" s="71">
        <f t="shared" si="146"/>
        <v>0</v>
      </c>
      <c r="AH94" s="72"/>
    </row>
    <row r="95" spans="1:35" s="10" customFormat="1" ht="48" customHeight="1" x14ac:dyDescent="0.25">
      <c r="A95" s="403"/>
      <c r="B95" s="412"/>
      <c r="C95" s="124" t="s">
        <v>21</v>
      </c>
      <c r="D95" s="74">
        <f>SUM(J95,L95,N95,P95,R95,T95,V95,X95,Z95,AB95,AD95,AF95)</f>
        <v>62555.202999999994</v>
      </c>
      <c r="E95" s="74">
        <f>J95+L95+N95</f>
        <v>7579.8529999999992</v>
      </c>
      <c r="F95" s="74">
        <f>G95</f>
        <v>7579.8530000000001</v>
      </c>
      <c r="G95" s="74">
        <f>SUM(K95,M95,O95,Q95,S95,U95,W95,Y95,AA95,AC95,AE95,AG95)</f>
        <v>7579.8530000000001</v>
      </c>
      <c r="H95" s="74">
        <f t="shared" si="141"/>
        <v>12.11706242884385</v>
      </c>
      <c r="I95" s="74">
        <f t="shared" si="142"/>
        <v>100.00000000000003</v>
      </c>
      <c r="J95" s="67">
        <v>2080.7109999999998</v>
      </c>
      <c r="K95" s="67">
        <v>2080.71</v>
      </c>
      <c r="L95" s="67">
        <f>1435.773+905.289</f>
        <v>2341.0619999999999</v>
      </c>
      <c r="M95" s="67">
        <v>2341.0630000000001</v>
      </c>
      <c r="N95" s="67">
        <v>3158.08</v>
      </c>
      <c r="O95" s="67">
        <v>3158.08</v>
      </c>
      <c r="P95" s="67">
        <v>500</v>
      </c>
      <c r="Q95" s="67">
        <v>0</v>
      </c>
      <c r="R95" s="67">
        <v>0</v>
      </c>
      <c r="S95" s="67">
        <v>0</v>
      </c>
      <c r="T95" s="67">
        <v>1297.72</v>
      </c>
      <c r="U95" s="67">
        <v>0</v>
      </c>
      <c r="V95" s="67">
        <v>0</v>
      </c>
      <c r="W95" s="67">
        <v>0</v>
      </c>
      <c r="X95" s="67">
        <f>12421.63+44756-4000</f>
        <v>53177.63</v>
      </c>
      <c r="Y95" s="67">
        <v>0</v>
      </c>
      <c r="Z95" s="67">
        <v>0</v>
      </c>
      <c r="AA95" s="67">
        <v>0</v>
      </c>
      <c r="AB95" s="67">
        <v>0</v>
      </c>
      <c r="AC95" s="67">
        <v>0</v>
      </c>
      <c r="AD95" s="67">
        <v>0</v>
      </c>
      <c r="AE95" s="67">
        <v>0</v>
      </c>
      <c r="AF95" s="67">
        <v>0</v>
      </c>
      <c r="AG95" s="67">
        <v>0</v>
      </c>
      <c r="AH95" s="75"/>
    </row>
    <row r="96" spans="1:35" s="10" customFormat="1" ht="23.25" customHeight="1" x14ac:dyDescent="0.25">
      <c r="A96" s="402"/>
      <c r="B96" s="386" t="s">
        <v>270</v>
      </c>
      <c r="C96" s="123" t="s">
        <v>20</v>
      </c>
      <c r="D96" s="70">
        <f>D97</f>
        <v>9383.8130000000001</v>
      </c>
      <c r="E96" s="70">
        <f t="shared" ref="E96:G96" si="147">E97</f>
        <v>0</v>
      </c>
      <c r="F96" s="70">
        <f t="shared" si="147"/>
        <v>0</v>
      </c>
      <c r="G96" s="70">
        <f t="shared" si="147"/>
        <v>0</v>
      </c>
      <c r="H96" s="70">
        <f t="shared" si="141"/>
        <v>0</v>
      </c>
      <c r="I96" s="70">
        <f t="shared" si="142"/>
        <v>0</v>
      </c>
      <c r="J96" s="71">
        <f t="shared" ref="J96:AG96" si="148">SUM(J97:J97)</f>
        <v>0</v>
      </c>
      <c r="K96" s="71">
        <f t="shared" si="148"/>
        <v>0</v>
      </c>
      <c r="L96" s="71">
        <f t="shared" si="148"/>
        <v>0</v>
      </c>
      <c r="M96" s="71">
        <f t="shared" si="148"/>
        <v>0</v>
      </c>
      <c r="N96" s="71">
        <f t="shared" si="148"/>
        <v>0</v>
      </c>
      <c r="O96" s="71">
        <f t="shared" si="148"/>
        <v>0</v>
      </c>
      <c r="P96" s="71">
        <f t="shared" si="148"/>
        <v>0</v>
      </c>
      <c r="Q96" s="71">
        <f t="shared" si="148"/>
        <v>0</v>
      </c>
      <c r="R96" s="71">
        <f t="shared" si="148"/>
        <v>0</v>
      </c>
      <c r="S96" s="71">
        <f t="shared" si="148"/>
        <v>0</v>
      </c>
      <c r="T96" s="71">
        <f t="shared" si="148"/>
        <v>0</v>
      </c>
      <c r="U96" s="71">
        <f t="shared" si="148"/>
        <v>0</v>
      </c>
      <c r="V96" s="71">
        <f t="shared" si="148"/>
        <v>0</v>
      </c>
      <c r="W96" s="71">
        <f t="shared" si="148"/>
        <v>0</v>
      </c>
      <c r="X96" s="71">
        <f t="shared" si="148"/>
        <v>5694.5550000000003</v>
      </c>
      <c r="Y96" s="71">
        <f t="shared" si="148"/>
        <v>0</v>
      </c>
      <c r="Z96" s="71">
        <f t="shared" si="148"/>
        <v>0</v>
      </c>
      <c r="AA96" s="71">
        <f t="shared" si="148"/>
        <v>0</v>
      </c>
      <c r="AB96" s="71">
        <f t="shared" si="148"/>
        <v>0</v>
      </c>
      <c r="AC96" s="71">
        <f t="shared" si="148"/>
        <v>0</v>
      </c>
      <c r="AD96" s="71">
        <f t="shared" si="148"/>
        <v>0</v>
      </c>
      <c r="AE96" s="71">
        <f t="shared" si="148"/>
        <v>0</v>
      </c>
      <c r="AF96" s="71">
        <f t="shared" si="148"/>
        <v>3689.2579999999998</v>
      </c>
      <c r="AG96" s="71">
        <f t="shared" si="148"/>
        <v>0</v>
      </c>
      <c r="AH96" s="72" t="s">
        <v>351</v>
      </c>
    </row>
    <row r="97" spans="1:35" s="10" customFormat="1" ht="48" customHeight="1" x14ac:dyDescent="0.25">
      <c r="A97" s="403"/>
      <c r="B97" s="386"/>
      <c r="C97" s="124" t="s">
        <v>21</v>
      </c>
      <c r="D97" s="74">
        <f>SUM(J97,L97,N97,P97,R97,T97,V97,X97,Z97,AB97,AD97,AF97)</f>
        <v>9383.8130000000001</v>
      </c>
      <c r="E97" s="74">
        <f>J97</f>
        <v>0</v>
      </c>
      <c r="F97" s="74">
        <f>G97</f>
        <v>0</v>
      </c>
      <c r="G97" s="74">
        <f>SUM(K97,M97,O97,Q97,S97,U97,W97,Y97,AA97,AC97,AE97,AG97)</f>
        <v>0</v>
      </c>
      <c r="H97" s="74">
        <f t="shared" si="141"/>
        <v>0</v>
      </c>
      <c r="I97" s="74">
        <f t="shared" si="142"/>
        <v>0</v>
      </c>
      <c r="J97" s="67">
        <v>0</v>
      </c>
      <c r="K97" s="67">
        <v>0</v>
      </c>
      <c r="L97" s="67">
        <v>0</v>
      </c>
      <c r="M97" s="67">
        <v>0</v>
      </c>
      <c r="N97" s="67">
        <v>0</v>
      </c>
      <c r="O97" s="67">
        <v>0</v>
      </c>
      <c r="P97" s="67">
        <v>0</v>
      </c>
      <c r="Q97" s="67">
        <v>0</v>
      </c>
      <c r="R97" s="67">
        <v>0</v>
      </c>
      <c r="S97" s="67">
        <v>0</v>
      </c>
      <c r="T97" s="67">
        <v>0</v>
      </c>
      <c r="U97" s="67">
        <v>0</v>
      </c>
      <c r="V97" s="67">
        <v>0</v>
      </c>
      <c r="W97" s="67">
        <v>0</v>
      </c>
      <c r="X97" s="67">
        <v>5694.5550000000003</v>
      </c>
      <c r="Y97" s="67">
        <v>0</v>
      </c>
      <c r="Z97" s="67">
        <v>0</v>
      </c>
      <c r="AA97" s="67">
        <v>0</v>
      </c>
      <c r="AB97" s="67">
        <v>0</v>
      </c>
      <c r="AC97" s="67">
        <v>0</v>
      </c>
      <c r="AD97" s="67">
        <v>0</v>
      </c>
      <c r="AE97" s="67">
        <v>0</v>
      </c>
      <c r="AF97" s="67">
        <v>3689.2579999999998</v>
      </c>
      <c r="AG97" s="67">
        <v>0</v>
      </c>
      <c r="AH97" s="75" t="s">
        <v>352</v>
      </c>
    </row>
    <row r="98" spans="1:35" s="10" customFormat="1" ht="33" customHeight="1" x14ac:dyDescent="0.25">
      <c r="A98" s="154"/>
      <c r="B98" s="370" t="s">
        <v>271</v>
      </c>
      <c r="C98" s="371"/>
      <c r="D98" s="371"/>
      <c r="E98" s="371"/>
      <c r="F98" s="371"/>
      <c r="G98" s="371"/>
      <c r="H98" s="371"/>
      <c r="I98" s="371"/>
      <c r="J98" s="371"/>
      <c r="K98" s="371"/>
      <c r="L98" s="371"/>
      <c r="M98" s="371"/>
      <c r="N98" s="371"/>
      <c r="O98" s="371"/>
      <c r="P98" s="371"/>
      <c r="Q98" s="371"/>
      <c r="R98" s="371"/>
      <c r="S98" s="371"/>
      <c r="T98" s="371"/>
      <c r="U98" s="371"/>
      <c r="V98" s="371"/>
      <c r="W98" s="371"/>
      <c r="X98" s="371"/>
      <c r="Y98" s="371"/>
      <c r="Z98" s="371"/>
      <c r="AA98" s="371"/>
      <c r="AB98" s="371"/>
      <c r="AC98" s="371"/>
      <c r="AD98" s="371"/>
      <c r="AE98" s="371"/>
      <c r="AF98" s="371"/>
      <c r="AG98" s="372"/>
      <c r="AH98" s="75"/>
    </row>
    <row r="99" spans="1:35" s="30" customFormat="1" ht="45.75" customHeight="1" x14ac:dyDescent="0.25">
      <c r="A99" s="402" t="s">
        <v>272</v>
      </c>
      <c r="B99" s="409" t="s">
        <v>273</v>
      </c>
      <c r="C99" s="123" t="s">
        <v>20</v>
      </c>
      <c r="D99" s="70">
        <f>D100</f>
        <v>51172.499999999993</v>
      </c>
      <c r="E99" s="70">
        <f t="shared" ref="E99:G99" si="149">E100</f>
        <v>13735.088</v>
      </c>
      <c r="F99" s="70">
        <f t="shared" si="149"/>
        <v>15622.66</v>
      </c>
      <c r="G99" s="70">
        <f t="shared" si="149"/>
        <v>15622.66</v>
      </c>
      <c r="H99" s="70">
        <f t="shared" ref="H99:H104" si="150">IFERROR(G99/D99*100,0)</f>
        <v>30.52940544237628</v>
      </c>
      <c r="I99" s="70">
        <f t="shared" ref="I99:I104" si="151">IFERROR(G99/E99*100,0)</f>
        <v>113.74270044720501</v>
      </c>
      <c r="J99" s="71">
        <f t="shared" ref="J99:AG99" si="152">SUM(J100:J100)</f>
        <v>5251.0879999999997</v>
      </c>
      <c r="K99" s="71">
        <f t="shared" si="152"/>
        <v>4538.9799999999996</v>
      </c>
      <c r="L99" s="71">
        <f t="shared" si="152"/>
        <v>4578</v>
      </c>
      <c r="M99" s="71">
        <f t="shared" si="152"/>
        <v>4578</v>
      </c>
      <c r="N99" s="71">
        <f t="shared" si="152"/>
        <v>3906</v>
      </c>
      <c r="O99" s="71">
        <f t="shared" si="152"/>
        <v>2968.32</v>
      </c>
      <c r="P99" s="71">
        <f t="shared" si="152"/>
        <v>3778.1</v>
      </c>
      <c r="Q99" s="71">
        <f t="shared" si="152"/>
        <v>3537.36</v>
      </c>
      <c r="R99" s="71">
        <f t="shared" si="152"/>
        <v>8618</v>
      </c>
      <c r="S99" s="71">
        <f t="shared" si="152"/>
        <v>0</v>
      </c>
      <c r="T99" s="71">
        <f t="shared" si="152"/>
        <v>7014</v>
      </c>
      <c r="U99" s="71">
        <f t="shared" si="152"/>
        <v>0</v>
      </c>
      <c r="V99" s="71">
        <f t="shared" si="152"/>
        <v>3144</v>
      </c>
      <c r="W99" s="71">
        <f t="shared" si="152"/>
        <v>0</v>
      </c>
      <c r="X99" s="71">
        <f t="shared" si="152"/>
        <v>2906</v>
      </c>
      <c r="Y99" s="71">
        <f t="shared" si="152"/>
        <v>0</v>
      </c>
      <c r="Z99" s="71">
        <f t="shared" si="152"/>
        <v>3916</v>
      </c>
      <c r="AA99" s="71">
        <f t="shared" si="152"/>
        <v>0</v>
      </c>
      <c r="AB99" s="71">
        <f t="shared" si="152"/>
        <v>3315</v>
      </c>
      <c r="AC99" s="71">
        <f t="shared" si="152"/>
        <v>0</v>
      </c>
      <c r="AD99" s="71">
        <f t="shared" si="152"/>
        <v>3112.4520000000002</v>
      </c>
      <c r="AE99" s="71">
        <f t="shared" si="152"/>
        <v>0</v>
      </c>
      <c r="AF99" s="71">
        <f t="shared" si="152"/>
        <v>1633.86</v>
      </c>
      <c r="AG99" s="71">
        <f t="shared" si="152"/>
        <v>0</v>
      </c>
      <c r="AH99" s="72"/>
      <c r="AI99" s="29"/>
    </row>
    <row r="100" spans="1:35" s="31" customFormat="1" ht="78" customHeight="1" x14ac:dyDescent="0.25">
      <c r="A100" s="403"/>
      <c r="B100" s="410"/>
      <c r="C100" s="124" t="s">
        <v>21</v>
      </c>
      <c r="D100" s="74">
        <f>SUM(J100,L100,N100,P100,R100,T100,V100,X100,Z100,AB100,AD100,AF100)</f>
        <v>51172.499999999993</v>
      </c>
      <c r="E100" s="74">
        <f>J100+L100+N100</f>
        <v>13735.088</v>
      </c>
      <c r="F100" s="74">
        <f>G100</f>
        <v>15622.66</v>
      </c>
      <c r="G100" s="74">
        <f>SUM(K100,M100,O100,Q100,S100,U100,W100,Y100,AA100,AC100,AE100,AG100)</f>
        <v>15622.66</v>
      </c>
      <c r="H100" s="74">
        <f t="shared" si="150"/>
        <v>30.52940544237628</v>
      </c>
      <c r="I100" s="74">
        <f>IFERROR(G100/E100*100,0)</f>
        <v>113.74270044720501</v>
      </c>
      <c r="J100" s="67">
        <f>J102+J104</f>
        <v>5251.0879999999997</v>
      </c>
      <c r="K100" s="67">
        <f t="shared" ref="K100:AG100" si="153">K102+K104</f>
        <v>4538.9799999999996</v>
      </c>
      <c r="L100" s="67">
        <f t="shared" si="153"/>
        <v>4578</v>
      </c>
      <c r="M100" s="67">
        <f t="shared" si="153"/>
        <v>4578</v>
      </c>
      <c r="N100" s="67">
        <f t="shared" si="153"/>
        <v>3906</v>
      </c>
      <c r="O100" s="67">
        <f t="shared" si="153"/>
        <v>2968.32</v>
      </c>
      <c r="P100" s="67">
        <f t="shared" si="153"/>
        <v>3778.1</v>
      </c>
      <c r="Q100" s="67">
        <f t="shared" si="153"/>
        <v>3537.36</v>
      </c>
      <c r="R100" s="67">
        <f t="shared" si="153"/>
        <v>8618</v>
      </c>
      <c r="S100" s="67">
        <f t="shared" si="153"/>
        <v>0</v>
      </c>
      <c r="T100" s="67">
        <f t="shared" si="153"/>
        <v>7014</v>
      </c>
      <c r="U100" s="67">
        <f t="shared" si="153"/>
        <v>0</v>
      </c>
      <c r="V100" s="67">
        <f t="shared" si="153"/>
        <v>3144</v>
      </c>
      <c r="W100" s="67">
        <f t="shared" si="153"/>
        <v>0</v>
      </c>
      <c r="X100" s="67">
        <f t="shared" si="153"/>
        <v>2906</v>
      </c>
      <c r="Y100" s="67">
        <f t="shared" si="153"/>
        <v>0</v>
      </c>
      <c r="Z100" s="67">
        <f t="shared" si="153"/>
        <v>3916</v>
      </c>
      <c r="AA100" s="67">
        <f t="shared" si="153"/>
        <v>0</v>
      </c>
      <c r="AB100" s="67">
        <f t="shared" si="153"/>
        <v>3315</v>
      </c>
      <c r="AC100" s="67">
        <f t="shared" si="153"/>
        <v>0</v>
      </c>
      <c r="AD100" s="67">
        <f t="shared" si="153"/>
        <v>3112.4520000000002</v>
      </c>
      <c r="AE100" s="67">
        <f t="shared" si="153"/>
        <v>0</v>
      </c>
      <c r="AF100" s="67">
        <f t="shared" si="153"/>
        <v>1633.86</v>
      </c>
      <c r="AG100" s="67">
        <f t="shared" si="153"/>
        <v>0</v>
      </c>
      <c r="AH100" s="75"/>
      <c r="AI100" s="29"/>
    </row>
    <row r="101" spans="1:35" s="10" customFormat="1" ht="60" customHeight="1" x14ac:dyDescent="0.25">
      <c r="A101" s="402"/>
      <c r="B101" s="411" t="s">
        <v>274</v>
      </c>
      <c r="C101" s="123" t="s">
        <v>20</v>
      </c>
      <c r="D101" s="70">
        <f>D102</f>
        <v>51072.499999999993</v>
      </c>
      <c r="E101" s="70">
        <f t="shared" ref="E101:G101" si="154">E102</f>
        <v>17513.187999999998</v>
      </c>
      <c r="F101" s="70">
        <f t="shared" si="154"/>
        <v>15622.66</v>
      </c>
      <c r="G101" s="70">
        <f t="shared" si="154"/>
        <v>15622.66</v>
      </c>
      <c r="H101" s="70">
        <f t="shared" si="150"/>
        <v>30.589182045131924</v>
      </c>
      <c r="I101" s="70">
        <f t="shared" si="151"/>
        <v>89.205117880308265</v>
      </c>
      <c r="J101" s="71">
        <f t="shared" ref="J101:AG101" si="155">SUM(J102:J102)</f>
        <v>5251.0879999999997</v>
      </c>
      <c r="K101" s="71">
        <f t="shared" si="155"/>
        <v>4538.9799999999996</v>
      </c>
      <c r="L101" s="71">
        <f t="shared" si="155"/>
        <v>4578</v>
      </c>
      <c r="M101" s="71">
        <f t="shared" si="155"/>
        <v>4578</v>
      </c>
      <c r="N101" s="71">
        <f t="shared" si="155"/>
        <v>3906</v>
      </c>
      <c r="O101" s="71">
        <f t="shared" si="155"/>
        <v>2968.32</v>
      </c>
      <c r="P101" s="71">
        <f t="shared" si="155"/>
        <v>3778.1</v>
      </c>
      <c r="Q101" s="71">
        <f t="shared" si="155"/>
        <v>3537.36</v>
      </c>
      <c r="R101" s="71">
        <f t="shared" si="155"/>
        <v>8618</v>
      </c>
      <c r="S101" s="71">
        <f t="shared" si="155"/>
        <v>0</v>
      </c>
      <c r="T101" s="71">
        <f t="shared" si="155"/>
        <v>7014</v>
      </c>
      <c r="U101" s="71">
        <f t="shared" si="155"/>
        <v>0</v>
      </c>
      <c r="V101" s="71">
        <f t="shared" si="155"/>
        <v>3144</v>
      </c>
      <c r="W101" s="71">
        <f t="shared" si="155"/>
        <v>0</v>
      </c>
      <c r="X101" s="71">
        <f t="shared" si="155"/>
        <v>2806</v>
      </c>
      <c r="Y101" s="71">
        <f t="shared" si="155"/>
        <v>0</v>
      </c>
      <c r="Z101" s="71">
        <f t="shared" si="155"/>
        <v>3916</v>
      </c>
      <c r="AA101" s="71">
        <f t="shared" si="155"/>
        <v>0</v>
      </c>
      <c r="AB101" s="71">
        <f t="shared" si="155"/>
        <v>3315</v>
      </c>
      <c r="AC101" s="71">
        <f t="shared" si="155"/>
        <v>0</v>
      </c>
      <c r="AD101" s="71">
        <f t="shared" si="155"/>
        <v>3112.4520000000002</v>
      </c>
      <c r="AE101" s="71">
        <f t="shared" si="155"/>
        <v>0</v>
      </c>
      <c r="AF101" s="71">
        <f t="shared" si="155"/>
        <v>1633.86</v>
      </c>
      <c r="AG101" s="71">
        <f t="shared" si="155"/>
        <v>0</v>
      </c>
      <c r="AH101" s="72"/>
    </row>
    <row r="102" spans="1:35" s="10" customFormat="1" ht="62.25" customHeight="1" x14ac:dyDescent="0.25">
      <c r="A102" s="403"/>
      <c r="B102" s="412"/>
      <c r="C102" s="124" t="s">
        <v>21</v>
      </c>
      <c r="D102" s="74">
        <f>SUM(J102,L102,N102,P102,R102,T102,V102,X102,Z102,AB102,AD102,AF102)</f>
        <v>51072.499999999993</v>
      </c>
      <c r="E102" s="74">
        <f>J102+L102+N102+P102</f>
        <v>17513.187999999998</v>
      </c>
      <c r="F102" s="74">
        <f>G102</f>
        <v>15622.66</v>
      </c>
      <c r="G102" s="74">
        <f>SUM(K102,M102,O102,Q102,S102,U102,W102,Y102,AA102,AC102,AE102,AG102)</f>
        <v>15622.66</v>
      </c>
      <c r="H102" s="74">
        <f t="shared" si="150"/>
        <v>30.589182045131924</v>
      </c>
      <c r="I102" s="74">
        <f t="shared" si="151"/>
        <v>89.205117880308265</v>
      </c>
      <c r="J102" s="67">
        <v>5251.0879999999997</v>
      </c>
      <c r="K102" s="67">
        <v>4538.9799999999996</v>
      </c>
      <c r="L102" s="67">
        <v>4578</v>
      </c>
      <c r="M102" s="67">
        <v>4578</v>
      </c>
      <c r="N102" s="67">
        <v>3906</v>
      </c>
      <c r="O102" s="67">
        <v>2968.32</v>
      </c>
      <c r="P102" s="67">
        <v>3778.1</v>
      </c>
      <c r="Q102" s="67">
        <v>3537.36</v>
      </c>
      <c r="R102" s="67">
        <v>8618</v>
      </c>
      <c r="S102" s="67">
        <v>0</v>
      </c>
      <c r="T102" s="67">
        <v>7014</v>
      </c>
      <c r="U102" s="67">
        <v>0</v>
      </c>
      <c r="V102" s="67">
        <v>3144</v>
      </c>
      <c r="W102" s="67">
        <v>0</v>
      </c>
      <c r="X102" s="67">
        <v>2806</v>
      </c>
      <c r="Y102" s="67">
        <v>0</v>
      </c>
      <c r="Z102" s="67">
        <v>3916</v>
      </c>
      <c r="AA102" s="67">
        <v>0</v>
      </c>
      <c r="AB102" s="67">
        <v>3315</v>
      </c>
      <c r="AC102" s="67">
        <v>0</v>
      </c>
      <c r="AD102" s="67">
        <v>3112.4520000000002</v>
      </c>
      <c r="AE102" s="67">
        <v>0</v>
      </c>
      <c r="AF102" s="67">
        <v>1633.86</v>
      </c>
      <c r="AG102" s="67">
        <v>0</v>
      </c>
      <c r="AH102" s="75"/>
    </row>
    <row r="103" spans="1:35" s="10" customFormat="1" ht="23.25" customHeight="1" x14ac:dyDescent="0.25">
      <c r="A103" s="402"/>
      <c r="B103" s="386" t="s">
        <v>275</v>
      </c>
      <c r="C103" s="123" t="s">
        <v>20</v>
      </c>
      <c r="D103" s="70">
        <f>D104</f>
        <v>100</v>
      </c>
      <c r="E103" s="70">
        <f t="shared" ref="E103:G103" si="156">E104</f>
        <v>0</v>
      </c>
      <c r="F103" s="70">
        <f t="shared" si="156"/>
        <v>0</v>
      </c>
      <c r="G103" s="70">
        <f t="shared" si="156"/>
        <v>0</v>
      </c>
      <c r="H103" s="70">
        <f t="shared" si="150"/>
        <v>0</v>
      </c>
      <c r="I103" s="70">
        <f t="shared" si="151"/>
        <v>0</v>
      </c>
      <c r="J103" s="71">
        <f t="shared" ref="J103:AG103" si="157">SUM(J104:J104)</f>
        <v>0</v>
      </c>
      <c r="K103" s="71">
        <f t="shared" si="157"/>
        <v>0</v>
      </c>
      <c r="L103" s="71">
        <f t="shared" si="157"/>
        <v>0</v>
      </c>
      <c r="M103" s="71">
        <f t="shared" si="157"/>
        <v>0</v>
      </c>
      <c r="N103" s="71">
        <f t="shared" si="157"/>
        <v>0</v>
      </c>
      <c r="O103" s="71">
        <f t="shared" si="157"/>
        <v>0</v>
      </c>
      <c r="P103" s="71">
        <f t="shared" si="157"/>
        <v>0</v>
      </c>
      <c r="Q103" s="71">
        <f t="shared" si="157"/>
        <v>0</v>
      </c>
      <c r="R103" s="71">
        <f t="shared" si="157"/>
        <v>0</v>
      </c>
      <c r="S103" s="71">
        <f t="shared" si="157"/>
        <v>0</v>
      </c>
      <c r="T103" s="71">
        <f t="shared" si="157"/>
        <v>0</v>
      </c>
      <c r="U103" s="71">
        <f t="shared" si="157"/>
        <v>0</v>
      </c>
      <c r="V103" s="71">
        <f t="shared" si="157"/>
        <v>0</v>
      </c>
      <c r="W103" s="71">
        <f t="shared" si="157"/>
        <v>0</v>
      </c>
      <c r="X103" s="71">
        <f t="shared" si="157"/>
        <v>100</v>
      </c>
      <c r="Y103" s="71">
        <f t="shared" si="157"/>
        <v>0</v>
      </c>
      <c r="Z103" s="71">
        <f t="shared" si="157"/>
        <v>0</v>
      </c>
      <c r="AA103" s="71">
        <f t="shared" si="157"/>
        <v>0</v>
      </c>
      <c r="AB103" s="71">
        <f t="shared" si="157"/>
        <v>0</v>
      </c>
      <c r="AC103" s="71">
        <f t="shared" si="157"/>
        <v>0</v>
      </c>
      <c r="AD103" s="71">
        <f t="shared" si="157"/>
        <v>0</v>
      </c>
      <c r="AE103" s="71">
        <f t="shared" si="157"/>
        <v>0</v>
      </c>
      <c r="AF103" s="71">
        <f t="shared" si="157"/>
        <v>0</v>
      </c>
      <c r="AG103" s="71">
        <f t="shared" si="157"/>
        <v>0</v>
      </c>
      <c r="AH103" s="72"/>
    </row>
    <row r="104" spans="1:35" s="10" customFormat="1" ht="42" customHeight="1" x14ac:dyDescent="0.25">
      <c r="A104" s="403"/>
      <c r="B104" s="386"/>
      <c r="C104" s="124" t="s">
        <v>21</v>
      </c>
      <c r="D104" s="74">
        <f>SUM(J104,L104,N104,P104,R104,T104,V104,X104,Z104,AB104,AD104,AF104)</f>
        <v>100</v>
      </c>
      <c r="E104" s="74">
        <f>J104</f>
        <v>0</v>
      </c>
      <c r="F104" s="74">
        <f>G104</f>
        <v>0</v>
      </c>
      <c r="G104" s="74">
        <f>SUM(K104,M104,O104,Q104,S104,U104,W104,Y104,AA104,AC104,AE104,AG104)</f>
        <v>0</v>
      </c>
      <c r="H104" s="74">
        <f t="shared" si="150"/>
        <v>0</v>
      </c>
      <c r="I104" s="74">
        <f t="shared" si="151"/>
        <v>0</v>
      </c>
      <c r="J104" s="67">
        <v>0</v>
      </c>
      <c r="K104" s="67">
        <v>0</v>
      </c>
      <c r="L104" s="67">
        <v>0</v>
      </c>
      <c r="M104" s="67">
        <v>0</v>
      </c>
      <c r="N104" s="67">
        <v>0</v>
      </c>
      <c r="O104" s="67">
        <v>0</v>
      </c>
      <c r="P104" s="67">
        <v>0</v>
      </c>
      <c r="Q104" s="67">
        <v>0</v>
      </c>
      <c r="R104" s="67">
        <v>0</v>
      </c>
      <c r="S104" s="67">
        <v>0</v>
      </c>
      <c r="T104" s="67">
        <v>0</v>
      </c>
      <c r="U104" s="67">
        <v>0</v>
      </c>
      <c r="V104" s="67">
        <v>0</v>
      </c>
      <c r="W104" s="67">
        <v>0</v>
      </c>
      <c r="X104" s="67">
        <v>100</v>
      </c>
      <c r="Y104" s="67">
        <v>0</v>
      </c>
      <c r="Z104" s="67">
        <v>0</v>
      </c>
      <c r="AA104" s="67">
        <v>0</v>
      </c>
      <c r="AB104" s="67">
        <v>0</v>
      </c>
      <c r="AC104" s="67">
        <v>0</v>
      </c>
      <c r="AD104" s="67">
        <v>0</v>
      </c>
      <c r="AE104" s="67">
        <v>0</v>
      </c>
      <c r="AF104" s="67">
        <v>0</v>
      </c>
      <c r="AG104" s="67">
        <v>0</v>
      </c>
      <c r="AH104" s="75"/>
    </row>
  </sheetData>
  <customSheetViews>
    <customSheetView guid="{2940A182-D1A7-43C5-8D6E-965BED4371B0}" scale="80" hiddenRows="1" state="hidden">
      <pane xSplit="6" ySplit="7" topLeftCell="G29" activePane="bottomRight" state="frozen"/>
      <selection pane="bottomRight" activeCell="A8" sqref="A8:XFD12"/>
      <pageMargins left="0.7" right="0.7" top="0.75" bottom="0.75" header="0.3" footer="0.3"/>
      <pageSetup paperSize="9" orientation="portrait" r:id="rId1"/>
    </customSheetView>
    <customSheetView guid="{BBF6B43F-E0FC-43DF-B91C-674F6AB4B556}" scale="80" hiddenRows="1">
      <pane xSplit="6" ySplit="7" topLeftCell="G20" activePane="bottomRight" state="frozen"/>
      <selection pane="bottomRight" activeCell="A8" sqref="A8:XFD12"/>
      <pageMargins left="0.7" right="0.7" top="0.75" bottom="0.75" header="0.3" footer="0.3"/>
      <pageSetup paperSize="9" orientation="portrait" r:id="rId2"/>
    </customSheetView>
    <customSheetView guid="{30B635D9-57DB-47D5-8A0F-4B30DD769960}" scale="80" hiddenRows="1">
      <pane xSplit="6" ySplit="7" topLeftCell="G20" activePane="bottomRight" state="frozen"/>
      <selection pane="bottomRight" activeCell="A8" sqref="A8:XFD12"/>
      <pageMargins left="0.7" right="0.7" top="0.75" bottom="0.75" header="0.3" footer="0.3"/>
      <pageSetup paperSize="9" orientation="portrait" r:id="rId3"/>
    </customSheetView>
    <customSheetView guid="{DAEDC989-02E7-4319-8354-59410ACF3F1F}" scale="80" hiddenRows="1">
      <pane xSplit="6" ySplit="7" topLeftCell="G29" activePane="bottomRight" state="frozen"/>
      <selection pane="bottomRight" activeCell="A8" sqref="A8:XFD12"/>
      <pageMargins left="0.7" right="0.7" top="0.75" bottom="0.75" header="0.3" footer="0.3"/>
      <pageSetup paperSize="9" orientation="portrait" r:id="rId4"/>
    </customSheetView>
    <customSheetView guid="{21E1D423-7B38-4272-8354-09B4DB62C9EB}" scale="80" hiddenRows="1">
      <pane xSplit="6" ySplit="7" topLeftCell="G29" activePane="bottomRight" state="frozen"/>
      <selection pane="bottomRight" activeCell="A8" sqref="A8:XFD12"/>
      <pageMargins left="0.7" right="0.7" top="0.75" bottom="0.75" header="0.3" footer="0.3"/>
      <pageSetup paperSize="9" orientation="portrait" r:id="rId5"/>
    </customSheetView>
    <customSheetView guid="{EA46B61D-849C-4795-A4FF-F8F1740022EB}" scale="80" hiddenRows="1">
      <pane xSplit="6" ySplit="7" topLeftCell="G29" activePane="bottomRight" state="frozen"/>
      <selection pane="bottomRight" activeCell="A8" sqref="A8:XFD12"/>
      <pageMargins left="0.7" right="0.7" top="0.75" bottom="0.75" header="0.3" footer="0.3"/>
      <pageSetup paperSize="9" orientation="portrait" r:id="rId6"/>
    </customSheetView>
    <customSheetView guid="{A0E2FBF6-E560-4343-8BE6-217DC798135B}" scale="80" hiddenRows="1">
      <pane xSplit="6" ySplit="7" topLeftCell="G95" activePane="bottomRight" state="frozen"/>
      <selection pane="bottomRight" activeCell="K100" sqref="K100"/>
      <pageMargins left="0.7" right="0.7" top="0.75" bottom="0.75" header="0.3" footer="0.3"/>
      <pageSetup paperSize="9" orientation="portrait" r:id="rId7"/>
    </customSheetView>
    <customSheetView guid="{20A05A62-CBE8-4538-BBC3-2AD9D3B8FAC0}" scale="80" hiddenRows="1">
      <pane xSplit="6" ySplit="7" topLeftCell="G29" activePane="bottomRight" state="frozen"/>
      <selection pane="bottomRight" activeCell="A8" sqref="A8:XFD12"/>
      <pageMargins left="0.7" right="0.7" top="0.75" bottom="0.75" header="0.3" footer="0.3"/>
      <pageSetup paperSize="9" orientation="portrait" r:id="rId8"/>
    </customSheetView>
    <customSheetView guid="{A4AF2100-C59D-4F60-9EAB-56D9103463F7}" scale="80" hiddenRows="1">
      <pane xSplit="6" ySplit="7" topLeftCell="L89" activePane="bottomRight" state="frozen"/>
      <selection pane="bottomRight" activeCell="X93" sqref="X93"/>
      <pageMargins left="0.7" right="0.7" top="0.75" bottom="0.75" header="0.3" footer="0.3"/>
      <pageSetup paperSize="9" orientation="portrait" r:id="rId9"/>
    </customSheetView>
    <customSheetView guid="{AB9978E4-895D-4050-8F07-2484E22632D1}" scale="80" hiddenRows="1">
      <pane xSplit="6" ySplit="7" topLeftCell="G20" activePane="bottomRight" state="frozen"/>
      <selection pane="bottomRight" activeCell="A8" sqref="A8:XFD12"/>
      <pageMargins left="0.7" right="0.7" top="0.75" bottom="0.75" header="0.3" footer="0.3"/>
      <pageSetup paperSize="9" orientation="portrait" r:id="rId10"/>
    </customSheetView>
    <customSheetView guid="{519948E4-0B24-465F-9D9E-44BE50D1D647}" scale="80" hiddenRows="1">
      <pane xSplit="6" ySplit="7" topLeftCell="G29" activePane="bottomRight" state="frozen"/>
      <selection pane="bottomRight" activeCell="A8" sqref="A8:XFD12"/>
      <pageMargins left="0.7" right="0.7" top="0.75" bottom="0.75" header="0.3" footer="0.3"/>
      <pageSetup paperSize="9" orientation="portrait" r:id="rId11"/>
    </customSheetView>
    <customSheetView guid="{C7DC638A-7F60-46C9-A1FB-9ADEAE87F332}" scale="80" hiddenRows="1">
      <pane xSplit="6" ySplit="7" topLeftCell="G29" activePane="bottomRight" state="frozen"/>
      <selection pane="bottomRight" activeCell="A8" sqref="A8:XFD12"/>
      <pageMargins left="0.7" right="0.7" top="0.75" bottom="0.75" header="0.3" footer="0.3"/>
      <pageSetup paperSize="9" orientation="portrait" r:id="rId12"/>
    </customSheetView>
    <customSheetView guid="{2A5A11D4-90C6-4A3E-8165-7D7BD634B22F}" scale="80" hiddenRows="1">
      <pane xSplit="6" ySplit="7" topLeftCell="G29" activePane="bottomRight" state="frozen"/>
      <selection pane="bottomRight" activeCell="A8" sqref="A8:XFD12"/>
      <pageMargins left="0.7" right="0.7" top="0.75" bottom="0.75" header="0.3" footer="0.3"/>
      <pageSetup paperSize="9" orientation="portrait" r:id="rId13"/>
    </customSheetView>
    <customSheetView guid="{562453CE-35F5-40A3-AD14-6399D1197C99}" scale="80" hiddenRows="1">
      <pane xSplit="6" ySplit="7" topLeftCell="G29" activePane="bottomRight" state="frozen"/>
      <selection pane="bottomRight" activeCell="A8" sqref="A8:XFD12"/>
      <pageMargins left="0.7" right="0.7" top="0.75" bottom="0.75" header="0.3" footer="0.3"/>
      <pageSetup paperSize="9" orientation="portrait" r:id="rId14"/>
    </customSheetView>
    <customSheetView guid="{B6B60ED6-A6CC-4DA7-A8CA-5E6DB52D5A87}" scale="80" hiddenRows="1">
      <pane xSplit="6" ySplit="7" topLeftCell="G20" activePane="bottomRight" state="frozen"/>
      <selection pane="bottomRight" activeCell="A8" sqref="A8:XFD12"/>
      <pageMargins left="0.7" right="0.7" top="0.75" bottom="0.75" header="0.3" footer="0.3"/>
      <pageSetup paperSize="9" orientation="portrait" r:id="rId15"/>
    </customSheetView>
    <customSheetView guid="{133BB3F8-8DD4-4AEF-8CD6-A5FB14681329}" scale="80" hiddenRows="1">
      <pane xSplit="6" ySplit="7" topLeftCell="G95" activePane="bottomRight" state="frozen"/>
      <selection pane="bottomRight" activeCell="K100" sqref="K100"/>
      <pageMargins left="0.7" right="0.7" top="0.75" bottom="0.75" header="0.3" footer="0.3"/>
      <pageSetup paperSize="9" orientation="portrait" r:id="rId16"/>
    </customSheetView>
    <customSheetView guid="{5DF2C78B-5EE4-439D-8D72-8D3A913B65F9}" scale="80" hiddenRows="1">
      <pane xSplit="6" ySplit="7" topLeftCell="G29" activePane="bottomRight" state="frozen"/>
      <selection pane="bottomRight" activeCell="A8" sqref="A8:XFD12"/>
      <pageMargins left="0.7" right="0.7" top="0.75" bottom="0.75" header="0.3" footer="0.3"/>
      <pageSetup paperSize="9" orientation="portrait" r:id="rId17"/>
    </customSheetView>
    <customSheetView guid="{60A1F930-4BEC-460A-8E14-01E47F6DD055}" scale="80" hiddenRows="1">
      <pane xSplit="6" ySplit="7" topLeftCell="G29" activePane="bottomRight" state="frozen"/>
      <selection pane="bottomRight" activeCell="A8" sqref="A8:XFD12"/>
      <pageMargins left="0.7" right="0.7" top="0.75" bottom="0.75" header="0.3" footer="0.3"/>
      <pageSetup paperSize="9" orientation="portrait" r:id="rId18"/>
    </customSheetView>
    <customSheetView guid="{7C5A2A36-3D69-43D9-9018-A52C27EC78F9}" scale="80" hiddenRows="1">
      <pane xSplit="6" ySplit="7" topLeftCell="G29" activePane="bottomRight" state="frozen"/>
      <selection pane="bottomRight" activeCell="A8" sqref="A8:XFD12"/>
      <pageMargins left="0.7" right="0.7" top="0.75" bottom="0.75" header="0.3" footer="0.3"/>
      <pageSetup paperSize="9" orientation="portrait" r:id="rId19"/>
    </customSheetView>
    <customSheetView guid="{C282AA4E-1BB5-4296-9AC6-844C0F88E5FC}" scale="80" hiddenRows="1">
      <pane xSplit="6" ySplit="7" topLeftCell="G29" activePane="bottomRight" state="frozen"/>
      <selection pane="bottomRight" activeCell="A8" sqref="A8:XFD12"/>
      <pageMargins left="0.7" right="0.7" top="0.75" bottom="0.75" header="0.3" footer="0.3"/>
      <pageSetup paperSize="9" orientation="portrait" r:id="rId20"/>
    </customSheetView>
    <customSheetView guid="{996EC2F0-F6EC-4E63-A83E-34865157BD8D}" scale="80" hiddenRows="1">
      <pane xSplit="6" ySplit="7" topLeftCell="G73" activePane="bottomRight" state="frozen"/>
      <selection pane="bottomRight" activeCell="H73" sqref="H73:H74"/>
      <pageMargins left="0.7" right="0.7" top="0.75" bottom="0.75" header="0.3" footer="0.3"/>
      <pageSetup paperSize="9" orientation="portrait" r:id="rId21"/>
    </customSheetView>
    <customSheetView guid="{AFADB96A-0516-43C1-9F1B-0604F3CAC04A}" scale="80" hiddenRows="1">
      <pane xSplit="6" ySplit="7" topLeftCell="G29" activePane="bottomRight" state="frozen"/>
      <selection pane="bottomRight" activeCell="A8" sqref="A8:XFD12"/>
      <pageMargins left="0.7" right="0.7" top="0.75" bottom="0.75" header="0.3" footer="0.3"/>
      <pageSetup paperSize="9" orientation="portrait" r:id="rId22"/>
    </customSheetView>
  </customSheetViews>
  <mergeCells count="85">
    <mergeCell ref="A103:A104"/>
    <mergeCell ref="B103:B104"/>
    <mergeCell ref="B91:AG91"/>
    <mergeCell ref="A92:A93"/>
    <mergeCell ref="B92:B93"/>
    <mergeCell ref="A94:A95"/>
    <mergeCell ref="B94:B95"/>
    <mergeCell ref="A96:A97"/>
    <mergeCell ref="B96:B97"/>
    <mergeCell ref="B98:AG98"/>
    <mergeCell ref="A99:A100"/>
    <mergeCell ref="B99:B100"/>
    <mergeCell ref="A101:A102"/>
    <mergeCell ref="B101:B102"/>
    <mergeCell ref="A85:A86"/>
    <mergeCell ref="B85:B86"/>
    <mergeCell ref="A87:A88"/>
    <mergeCell ref="B87:B88"/>
    <mergeCell ref="A89:A90"/>
    <mergeCell ref="B89:B90"/>
    <mergeCell ref="A83:A84"/>
    <mergeCell ref="B83:B84"/>
    <mergeCell ref="B63:B64"/>
    <mergeCell ref="A65:A68"/>
    <mergeCell ref="B65:B68"/>
    <mergeCell ref="B69:AG69"/>
    <mergeCell ref="A70:A73"/>
    <mergeCell ref="B70:B73"/>
    <mergeCell ref="B74:B78"/>
    <mergeCell ref="A79:A80"/>
    <mergeCell ref="B79:B80"/>
    <mergeCell ref="A81:A82"/>
    <mergeCell ref="B81:B82"/>
    <mergeCell ref="B61:B62"/>
    <mergeCell ref="A42:A45"/>
    <mergeCell ref="B42:B45"/>
    <mergeCell ref="B46:B47"/>
    <mergeCell ref="B48:B49"/>
    <mergeCell ref="A50:A52"/>
    <mergeCell ref="B50:B52"/>
    <mergeCell ref="B53:B54"/>
    <mergeCell ref="A55:A57"/>
    <mergeCell ref="B55:B57"/>
    <mergeCell ref="A58:A60"/>
    <mergeCell ref="B58:B60"/>
    <mergeCell ref="A30:A32"/>
    <mergeCell ref="B30:B32"/>
    <mergeCell ref="A33:A37"/>
    <mergeCell ref="B33:B37"/>
    <mergeCell ref="A38:A41"/>
    <mergeCell ref="B38:B41"/>
    <mergeCell ref="A19:A22"/>
    <mergeCell ref="B19:B22"/>
    <mergeCell ref="A23:A26"/>
    <mergeCell ref="B23:B26"/>
    <mergeCell ref="A27:A29"/>
    <mergeCell ref="B27:B29"/>
    <mergeCell ref="AH4:AH6"/>
    <mergeCell ref="A8:A12"/>
    <mergeCell ref="B8:B12"/>
    <mergeCell ref="B13:AG13"/>
    <mergeCell ref="A14:A18"/>
    <mergeCell ref="B14:B18"/>
    <mergeCell ref="V4:W5"/>
    <mergeCell ref="X4:Y5"/>
    <mergeCell ref="Z4:AA5"/>
    <mergeCell ref="AB4:AC5"/>
    <mergeCell ref="AD4:AE5"/>
    <mergeCell ref="AF4:AG5"/>
    <mergeCell ref="J4:K5"/>
    <mergeCell ref="L4:M5"/>
    <mergeCell ref="N4:O5"/>
    <mergeCell ref="P4:Q5"/>
    <mergeCell ref="R4:S5"/>
    <mergeCell ref="T4:U5"/>
    <mergeCell ref="C2:S2"/>
    <mergeCell ref="C3:S3"/>
    <mergeCell ref="A4:A6"/>
    <mergeCell ref="B4:B6"/>
    <mergeCell ref="C4:C6"/>
    <mergeCell ref="D4:D5"/>
    <mergeCell ref="E4:E5"/>
    <mergeCell ref="F4:F5"/>
    <mergeCell ref="G4:G5"/>
    <mergeCell ref="H4:I5"/>
  </mergeCells>
  <pageMargins left="0.7" right="0.7" top="0.75" bottom="0.75" header="0.3" footer="0.3"/>
  <pageSetup paperSize="9" orientation="portrait"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38"/>
  <sheetViews>
    <sheetView zoomScale="80" zoomScaleNormal="70" workbookViewId="0">
      <pane xSplit="6" ySplit="7" topLeftCell="G8" activePane="bottomRight" state="frozen"/>
      <selection pane="topRight" activeCell="G1" sqref="G1"/>
      <selection pane="bottomLeft" activeCell="A8" sqref="A8"/>
      <selection pane="bottomRight" activeCell="B16" sqref="B16:B17"/>
    </sheetView>
  </sheetViews>
  <sheetFormatPr defaultColWidth="9.140625" defaultRowHeight="15" x14ac:dyDescent="0.25"/>
  <cols>
    <col min="1" max="1" width="6.5703125" style="8" customWidth="1"/>
    <col min="2" max="2" width="46.28515625" style="8" customWidth="1"/>
    <col min="3" max="3" width="18.5703125" style="9" customWidth="1"/>
    <col min="4" max="4" width="18" style="8" customWidth="1"/>
    <col min="5" max="5" width="14.7109375" style="8" customWidth="1"/>
    <col min="6" max="6" width="17.140625" style="8" customWidth="1"/>
    <col min="7" max="7" width="17.85546875" style="8" customWidth="1"/>
    <col min="8" max="8" width="12.140625" style="8" customWidth="1"/>
    <col min="9" max="9" width="10.85546875" style="8" customWidth="1"/>
    <col min="10" max="10" width="14.28515625" style="8" customWidth="1"/>
    <col min="11" max="11" width="13.5703125" style="212" customWidth="1"/>
    <col min="12" max="12" width="13.85546875" style="8" customWidth="1"/>
    <col min="13" max="13" width="13" style="283" customWidth="1"/>
    <col min="14" max="14" width="13.42578125" style="8" customWidth="1"/>
    <col min="15" max="15" width="11.5703125" style="311" customWidth="1"/>
    <col min="16" max="16" width="13.4257812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3.5703125" style="8" customWidth="1"/>
    <col min="27" max="27" width="11.5703125" style="8" customWidth="1"/>
    <col min="28" max="28" width="13" style="8" customWidth="1"/>
    <col min="29" max="29" width="11.5703125" style="8" customWidth="1"/>
    <col min="30" max="30" width="13.42578125" style="8" customWidth="1"/>
    <col min="31" max="33" width="11.5703125" style="8" customWidth="1"/>
    <col min="34" max="34" width="38.5703125" style="8" customWidth="1"/>
    <col min="35" max="16384" width="9.140625" style="8"/>
  </cols>
  <sheetData>
    <row r="1" spans="1:35" ht="23.25" customHeight="1" x14ac:dyDescent="0.25">
      <c r="C1" s="1"/>
      <c r="D1" s="2"/>
      <c r="E1" s="2"/>
      <c r="F1" s="2"/>
      <c r="G1" s="2"/>
      <c r="H1" s="2"/>
      <c r="I1" s="2"/>
      <c r="J1" s="3"/>
      <c r="K1" s="206"/>
      <c r="L1" s="3"/>
      <c r="M1" s="277"/>
      <c r="N1" s="3"/>
      <c r="O1" s="307"/>
      <c r="P1" s="3"/>
      <c r="Q1" s="3"/>
      <c r="R1" s="3"/>
      <c r="S1" s="3"/>
      <c r="T1" s="3"/>
      <c r="U1" s="3"/>
      <c r="V1" s="5"/>
      <c r="W1" s="5"/>
      <c r="X1" s="5"/>
      <c r="Y1" s="5"/>
      <c r="Z1" s="5"/>
      <c r="AA1" s="5"/>
      <c r="AB1" s="5"/>
      <c r="AC1" s="5"/>
      <c r="AD1" s="6"/>
      <c r="AE1" s="6"/>
      <c r="AF1" s="6"/>
      <c r="AG1" s="3"/>
      <c r="AH1" s="7"/>
    </row>
    <row r="2" spans="1:35" ht="15.75" x14ac:dyDescent="0.25">
      <c r="A2" s="147"/>
      <c r="B2" s="147"/>
      <c r="C2" s="463" t="s">
        <v>24</v>
      </c>
      <c r="D2" s="463"/>
      <c r="E2" s="463"/>
      <c r="F2" s="463"/>
      <c r="G2" s="463"/>
      <c r="H2" s="463"/>
      <c r="I2" s="463"/>
      <c r="J2" s="463"/>
      <c r="K2" s="463"/>
      <c r="L2" s="463"/>
      <c r="M2" s="463"/>
      <c r="N2" s="463"/>
      <c r="O2" s="463"/>
      <c r="P2" s="463"/>
      <c r="Q2" s="463"/>
      <c r="R2" s="463"/>
      <c r="S2" s="463"/>
      <c r="T2" s="148"/>
      <c r="U2" s="148"/>
      <c r="V2" s="148"/>
      <c r="W2" s="148"/>
      <c r="X2" s="148"/>
      <c r="Y2" s="148"/>
      <c r="Z2" s="148"/>
      <c r="AA2" s="148"/>
      <c r="AB2" s="148"/>
      <c r="AC2" s="148"/>
      <c r="AD2" s="148"/>
      <c r="AE2" s="148"/>
      <c r="AF2" s="148"/>
      <c r="AG2" s="148"/>
      <c r="AH2" s="148"/>
    </row>
    <row r="3" spans="1:35" ht="36.75" customHeight="1" x14ac:dyDescent="0.25">
      <c r="A3" s="147"/>
      <c r="B3" s="147"/>
      <c r="C3" s="464" t="s">
        <v>218</v>
      </c>
      <c r="D3" s="464"/>
      <c r="E3" s="464"/>
      <c r="F3" s="464"/>
      <c r="G3" s="464"/>
      <c r="H3" s="464"/>
      <c r="I3" s="464"/>
      <c r="J3" s="464"/>
      <c r="K3" s="464"/>
      <c r="L3" s="464"/>
      <c r="M3" s="464"/>
      <c r="N3" s="464"/>
      <c r="O3" s="464"/>
      <c r="P3" s="464"/>
      <c r="Q3" s="464"/>
      <c r="R3" s="464"/>
      <c r="S3" s="464"/>
      <c r="T3" s="149"/>
      <c r="U3" s="149"/>
      <c r="V3" s="149"/>
      <c r="W3" s="149"/>
      <c r="X3" s="149"/>
      <c r="Y3" s="149"/>
      <c r="Z3" s="149"/>
      <c r="AA3" s="149"/>
      <c r="AB3" s="149"/>
      <c r="AC3" s="149"/>
      <c r="AD3" s="150"/>
      <c r="AE3" s="150"/>
      <c r="AF3" s="150"/>
      <c r="AG3" s="150" t="s">
        <v>0</v>
      </c>
      <c r="AH3" s="150"/>
    </row>
    <row r="4" spans="1:35" s="10" customFormat="1" ht="15" customHeight="1" x14ac:dyDescent="0.25">
      <c r="A4" s="465" t="s">
        <v>26</v>
      </c>
      <c r="B4" s="468" t="s">
        <v>29</v>
      </c>
      <c r="C4" s="468" t="s">
        <v>30</v>
      </c>
      <c r="D4" s="357" t="s">
        <v>1</v>
      </c>
      <c r="E4" s="357" t="s">
        <v>1</v>
      </c>
      <c r="F4" s="357" t="s">
        <v>2</v>
      </c>
      <c r="G4" s="357" t="s">
        <v>3</v>
      </c>
      <c r="H4" s="459" t="s">
        <v>4</v>
      </c>
      <c r="I4" s="460"/>
      <c r="J4" s="459" t="s">
        <v>5</v>
      </c>
      <c r="K4" s="460"/>
      <c r="L4" s="459" t="s">
        <v>6</v>
      </c>
      <c r="M4" s="460"/>
      <c r="N4" s="459" t="s">
        <v>7</v>
      </c>
      <c r="O4" s="460"/>
      <c r="P4" s="459" t="s">
        <v>8</v>
      </c>
      <c r="Q4" s="460"/>
      <c r="R4" s="459" t="s">
        <v>9</v>
      </c>
      <c r="S4" s="460"/>
      <c r="T4" s="459" t="s">
        <v>10</v>
      </c>
      <c r="U4" s="460"/>
      <c r="V4" s="459" t="s">
        <v>11</v>
      </c>
      <c r="W4" s="460"/>
      <c r="X4" s="459" t="s">
        <v>12</v>
      </c>
      <c r="Y4" s="460"/>
      <c r="Z4" s="459" t="s">
        <v>13</v>
      </c>
      <c r="AA4" s="460"/>
      <c r="AB4" s="459" t="s">
        <v>14</v>
      </c>
      <c r="AC4" s="460"/>
      <c r="AD4" s="459" t="s">
        <v>15</v>
      </c>
      <c r="AE4" s="460"/>
      <c r="AF4" s="459" t="s">
        <v>16</v>
      </c>
      <c r="AG4" s="460"/>
      <c r="AH4" s="367" t="s">
        <v>17</v>
      </c>
    </row>
    <row r="5" spans="1:35" s="10" customFormat="1" ht="39" customHeight="1" x14ac:dyDescent="0.25">
      <c r="A5" s="466"/>
      <c r="B5" s="469"/>
      <c r="C5" s="469"/>
      <c r="D5" s="358"/>
      <c r="E5" s="358"/>
      <c r="F5" s="358"/>
      <c r="G5" s="358"/>
      <c r="H5" s="461"/>
      <c r="I5" s="462"/>
      <c r="J5" s="461"/>
      <c r="K5" s="462"/>
      <c r="L5" s="461"/>
      <c r="M5" s="462"/>
      <c r="N5" s="461"/>
      <c r="O5" s="462"/>
      <c r="P5" s="461"/>
      <c r="Q5" s="462"/>
      <c r="R5" s="461"/>
      <c r="S5" s="462"/>
      <c r="T5" s="461"/>
      <c r="U5" s="462"/>
      <c r="V5" s="461"/>
      <c r="W5" s="462"/>
      <c r="X5" s="461"/>
      <c r="Y5" s="462"/>
      <c r="Z5" s="461"/>
      <c r="AA5" s="462"/>
      <c r="AB5" s="461"/>
      <c r="AC5" s="462"/>
      <c r="AD5" s="461"/>
      <c r="AE5" s="462"/>
      <c r="AF5" s="461"/>
      <c r="AG5" s="462"/>
      <c r="AH5" s="368"/>
    </row>
    <row r="6" spans="1:35" s="10" customFormat="1" ht="64.5" customHeight="1" x14ac:dyDescent="0.25">
      <c r="A6" s="467"/>
      <c r="B6" s="470"/>
      <c r="C6" s="470"/>
      <c r="D6" s="121">
        <v>2025</v>
      </c>
      <c r="E6" s="151">
        <v>45748</v>
      </c>
      <c r="F6" s="151">
        <v>45748</v>
      </c>
      <c r="G6" s="151">
        <v>45748</v>
      </c>
      <c r="H6" s="152" t="s">
        <v>27</v>
      </c>
      <c r="I6" s="152" t="s">
        <v>28</v>
      </c>
      <c r="J6" s="152" t="s">
        <v>18</v>
      </c>
      <c r="K6" s="207" t="s">
        <v>19</v>
      </c>
      <c r="L6" s="152" t="s">
        <v>18</v>
      </c>
      <c r="M6" s="278" t="s">
        <v>19</v>
      </c>
      <c r="N6" s="152" t="s">
        <v>18</v>
      </c>
      <c r="O6" s="308" t="s">
        <v>19</v>
      </c>
      <c r="P6" s="152" t="s">
        <v>18</v>
      </c>
      <c r="Q6" s="152" t="s">
        <v>19</v>
      </c>
      <c r="R6" s="152" t="s">
        <v>18</v>
      </c>
      <c r="S6" s="152" t="s">
        <v>19</v>
      </c>
      <c r="T6" s="152" t="s">
        <v>18</v>
      </c>
      <c r="U6" s="152" t="s">
        <v>19</v>
      </c>
      <c r="V6" s="152" t="s">
        <v>18</v>
      </c>
      <c r="W6" s="152" t="s">
        <v>19</v>
      </c>
      <c r="X6" s="152" t="s">
        <v>18</v>
      </c>
      <c r="Y6" s="152" t="s">
        <v>19</v>
      </c>
      <c r="Z6" s="152" t="s">
        <v>18</v>
      </c>
      <c r="AA6" s="152" t="s">
        <v>19</v>
      </c>
      <c r="AB6" s="152" t="s">
        <v>18</v>
      </c>
      <c r="AC6" s="152" t="s">
        <v>19</v>
      </c>
      <c r="AD6" s="152" t="s">
        <v>18</v>
      </c>
      <c r="AE6" s="152" t="s">
        <v>19</v>
      </c>
      <c r="AF6" s="152" t="s">
        <v>18</v>
      </c>
      <c r="AG6" s="152" t="s">
        <v>19</v>
      </c>
      <c r="AH6" s="369"/>
    </row>
    <row r="7" spans="1:35" s="10" customFormat="1" ht="15.75" x14ac:dyDescent="0.25">
      <c r="A7" s="40">
        <v>1</v>
      </c>
      <c r="B7" s="40">
        <v>2</v>
      </c>
      <c r="C7" s="40">
        <v>3</v>
      </c>
      <c r="D7" s="40">
        <v>4</v>
      </c>
      <c r="E7" s="40">
        <v>5</v>
      </c>
      <c r="F7" s="40">
        <v>6</v>
      </c>
      <c r="G7" s="40">
        <v>7</v>
      </c>
      <c r="H7" s="40">
        <v>8</v>
      </c>
      <c r="I7" s="40">
        <v>9</v>
      </c>
      <c r="J7" s="40">
        <v>10</v>
      </c>
      <c r="K7" s="208">
        <v>11</v>
      </c>
      <c r="L7" s="40">
        <v>12</v>
      </c>
      <c r="M7" s="279">
        <v>13</v>
      </c>
      <c r="N7" s="40">
        <v>14</v>
      </c>
      <c r="O7" s="309">
        <v>15</v>
      </c>
      <c r="P7" s="40">
        <v>16</v>
      </c>
      <c r="Q7" s="40">
        <v>17</v>
      </c>
      <c r="R7" s="40">
        <v>18</v>
      </c>
      <c r="S7" s="40">
        <v>19</v>
      </c>
      <c r="T7" s="40">
        <v>20</v>
      </c>
      <c r="U7" s="40">
        <v>21</v>
      </c>
      <c r="V7" s="40">
        <v>22</v>
      </c>
      <c r="W7" s="40">
        <v>23</v>
      </c>
      <c r="X7" s="40">
        <v>24</v>
      </c>
      <c r="Y7" s="40">
        <v>25</v>
      </c>
      <c r="Z7" s="40">
        <v>26</v>
      </c>
      <c r="AA7" s="40">
        <v>27</v>
      </c>
      <c r="AB7" s="40">
        <v>28</v>
      </c>
      <c r="AC7" s="40">
        <v>29</v>
      </c>
      <c r="AD7" s="40">
        <v>30</v>
      </c>
      <c r="AE7" s="40">
        <v>31</v>
      </c>
      <c r="AF7" s="40">
        <v>32</v>
      </c>
      <c r="AG7" s="40">
        <v>33</v>
      </c>
      <c r="AH7" s="40">
        <v>34</v>
      </c>
    </row>
    <row r="8" spans="1:35" s="21" customFormat="1" ht="31.5" customHeight="1" x14ac:dyDescent="0.25">
      <c r="A8" s="364"/>
      <c r="B8" s="367" t="s">
        <v>23</v>
      </c>
      <c r="C8" s="69" t="s">
        <v>20</v>
      </c>
      <c r="D8" s="70">
        <f>D9+D10+D11</f>
        <v>31401.799299999999</v>
      </c>
      <c r="E8" s="70">
        <f>E9+E10+E11</f>
        <v>3165.6419999999998</v>
      </c>
      <c r="F8" s="70">
        <f>F9+F10+F11</f>
        <v>7594.6129999999994</v>
      </c>
      <c r="G8" s="70">
        <f>G9+G10+G11</f>
        <v>7594.6129999999994</v>
      </c>
      <c r="H8" s="70">
        <f>IFERROR(G8/D8*100,0)</f>
        <v>24.185279726948639</v>
      </c>
      <c r="I8" s="70">
        <f>IFERROR(G8/E8*100,0)</f>
        <v>239.90751323112343</v>
      </c>
      <c r="J8" s="71">
        <f t="shared" ref="J8:AF8" si="0">J9+J10+J11</f>
        <v>3165.6419999999998</v>
      </c>
      <c r="K8" s="209">
        <f t="shared" si="0"/>
        <v>1905.587</v>
      </c>
      <c r="L8" s="71">
        <f t="shared" si="0"/>
        <v>2926.279</v>
      </c>
      <c r="M8" s="280">
        <f t="shared" si="0"/>
        <v>3911.8990000000003</v>
      </c>
      <c r="N8" s="71">
        <f t="shared" si="0"/>
        <v>2040.452</v>
      </c>
      <c r="O8" s="258">
        <f t="shared" si="0"/>
        <v>1628.4370000000001</v>
      </c>
      <c r="P8" s="71">
        <f t="shared" si="0"/>
        <v>2920.9303</v>
      </c>
      <c r="Q8" s="71">
        <f t="shared" si="0"/>
        <v>148.69</v>
      </c>
      <c r="R8" s="71">
        <f t="shared" si="0"/>
        <v>2459.6239999999998</v>
      </c>
      <c r="S8" s="71">
        <f t="shared" si="0"/>
        <v>0</v>
      </c>
      <c r="T8" s="71">
        <f t="shared" si="0"/>
        <v>2130.902</v>
      </c>
      <c r="U8" s="71">
        <f t="shared" si="0"/>
        <v>0</v>
      </c>
      <c r="V8" s="71">
        <f t="shared" si="0"/>
        <v>2978.2</v>
      </c>
      <c r="W8" s="71">
        <f t="shared" si="0"/>
        <v>0</v>
      </c>
      <c r="X8" s="71">
        <f t="shared" si="0"/>
        <v>2314.9589999999998</v>
      </c>
      <c r="Y8" s="71">
        <f t="shared" si="0"/>
        <v>0</v>
      </c>
      <c r="Z8" s="71">
        <f t="shared" si="0"/>
        <v>1971.7379999999998</v>
      </c>
      <c r="AA8" s="71">
        <f t="shared" si="0"/>
        <v>0</v>
      </c>
      <c r="AB8" s="71">
        <f t="shared" si="0"/>
        <v>2508.1639999999998</v>
      </c>
      <c r="AC8" s="71">
        <f t="shared" si="0"/>
        <v>0</v>
      </c>
      <c r="AD8" s="71">
        <f t="shared" si="0"/>
        <v>1944.9170000000001</v>
      </c>
      <c r="AE8" s="71">
        <f t="shared" si="0"/>
        <v>0</v>
      </c>
      <c r="AF8" s="71">
        <f t="shared" si="0"/>
        <v>4039.9919999999993</v>
      </c>
      <c r="AG8" s="71">
        <f>AG9+AG10+AG11</f>
        <v>0</v>
      </c>
      <c r="AH8" s="72"/>
    </row>
    <row r="9" spans="1:35" s="21" customFormat="1" ht="31.5" customHeight="1" x14ac:dyDescent="0.25">
      <c r="A9" s="365"/>
      <c r="B9" s="368"/>
      <c r="C9" s="124" t="s">
        <v>52</v>
      </c>
      <c r="D9" s="70">
        <f>SUM(J9,L9,N9,P9,R9,T9,V9,X9,Z9,AB9,AD9,AF9)</f>
        <v>4.5999999999999996</v>
      </c>
      <c r="E9" s="70">
        <f>J9</f>
        <v>0</v>
      </c>
      <c r="F9" s="70">
        <f>G9</f>
        <v>0</v>
      </c>
      <c r="G9" s="70">
        <f>SUM(K9,M9,O9,Q9,S9,U9,W9,Y9,AA9,AC9,AE9,AG9)</f>
        <v>0</v>
      </c>
      <c r="H9" s="70">
        <f>IFERROR(G9/D9*100,0)</f>
        <v>0</v>
      </c>
      <c r="I9" s="70">
        <f>IFERROR(G9/E9*100,0)</f>
        <v>0</v>
      </c>
      <c r="J9" s="71">
        <f t="shared" ref="J9:AF9" si="1">J22</f>
        <v>0</v>
      </c>
      <c r="K9" s="209">
        <f t="shared" si="1"/>
        <v>0</v>
      </c>
      <c r="L9" s="71">
        <f t="shared" si="1"/>
        <v>0</v>
      </c>
      <c r="M9" s="280">
        <f t="shared" si="1"/>
        <v>0</v>
      </c>
      <c r="N9" s="71">
        <f t="shared" si="1"/>
        <v>0</v>
      </c>
      <c r="O9" s="258">
        <f t="shared" si="1"/>
        <v>0</v>
      </c>
      <c r="P9" s="71">
        <f t="shared" si="1"/>
        <v>1.8</v>
      </c>
      <c r="Q9" s="71">
        <f t="shared" si="1"/>
        <v>0</v>
      </c>
      <c r="R9" s="71">
        <f t="shared" si="1"/>
        <v>0</v>
      </c>
      <c r="S9" s="71">
        <f t="shared" si="1"/>
        <v>0</v>
      </c>
      <c r="T9" s="71">
        <f t="shared" si="1"/>
        <v>0</v>
      </c>
      <c r="U9" s="71">
        <f t="shared" si="1"/>
        <v>0</v>
      </c>
      <c r="V9" s="71">
        <f t="shared" si="1"/>
        <v>0</v>
      </c>
      <c r="W9" s="71">
        <f t="shared" si="1"/>
        <v>0</v>
      </c>
      <c r="X9" s="71">
        <f t="shared" si="1"/>
        <v>0</v>
      </c>
      <c r="Y9" s="71">
        <f t="shared" si="1"/>
        <v>0</v>
      </c>
      <c r="Z9" s="71">
        <f t="shared" si="1"/>
        <v>0</v>
      </c>
      <c r="AA9" s="71">
        <f t="shared" si="1"/>
        <v>0</v>
      </c>
      <c r="AB9" s="71">
        <f t="shared" si="1"/>
        <v>2.8</v>
      </c>
      <c r="AC9" s="71">
        <f t="shared" si="1"/>
        <v>0</v>
      </c>
      <c r="AD9" s="71">
        <f t="shared" si="1"/>
        <v>0</v>
      </c>
      <c r="AE9" s="71">
        <f t="shared" si="1"/>
        <v>0</v>
      </c>
      <c r="AF9" s="71">
        <f t="shared" si="1"/>
        <v>0</v>
      </c>
      <c r="AG9" s="71">
        <f>AG22</f>
        <v>0</v>
      </c>
      <c r="AH9" s="72"/>
    </row>
    <row r="10" spans="1:35" s="21" customFormat="1" ht="31.5" customHeight="1" x14ac:dyDescent="0.25">
      <c r="A10" s="365"/>
      <c r="B10" s="368"/>
      <c r="C10" s="73" t="s">
        <v>22</v>
      </c>
      <c r="D10" s="70">
        <f>SUM(J10,L10,N10,P10,R10,T10,V10,X10,Z10,AB10,AD10,AF10)</f>
        <v>12820.499</v>
      </c>
      <c r="E10" s="70">
        <f>J10</f>
        <v>1383.2259999999999</v>
      </c>
      <c r="F10" s="70">
        <f>G10</f>
        <v>2581.953</v>
      </c>
      <c r="G10" s="70">
        <f>SUM(K10,M10,O10,Q10,S10,U10,W10,Y10,AA10,AC10,AE10,AG10)</f>
        <v>2581.953</v>
      </c>
      <c r="H10" s="70">
        <f>IFERROR(G10/D10*100,0)</f>
        <v>20.139255110117009</v>
      </c>
      <c r="I10" s="70">
        <f>IFERROR(G10/E10*100,0)</f>
        <v>186.66168796711457</v>
      </c>
      <c r="J10" s="71">
        <f t="shared" ref="J10:AF10" si="2">J14+J19+J35</f>
        <v>1383.2259999999999</v>
      </c>
      <c r="K10" s="209">
        <f t="shared" si="2"/>
        <v>757.19600000000003</v>
      </c>
      <c r="L10" s="71">
        <f t="shared" si="2"/>
        <v>1010.528</v>
      </c>
      <c r="M10" s="280">
        <f t="shared" si="2"/>
        <v>1181.345</v>
      </c>
      <c r="N10" s="71">
        <f t="shared" si="2"/>
        <v>898.98299999999995</v>
      </c>
      <c r="O10" s="258">
        <f t="shared" si="2"/>
        <v>494.72199999999998</v>
      </c>
      <c r="P10" s="71">
        <f t="shared" si="2"/>
        <v>1372.7380000000001</v>
      </c>
      <c r="Q10" s="71">
        <f t="shared" si="2"/>
        <v>148.69</v>
      </c>
      <c r="R10" s="71">
        <f t="shared" si="2"/>
        <v>888.96100000000001</v>
      </c>
      <c r="S10" s="71">
        <f t="shared" si="2"/>
        <v>0</v>
      </c>
      <c r="T10" s="71">
        <f t="shared" si="2"/>
        <v>952.7170000000001</v>
      </c>
      <c r="U10" s="71">
        <f t="shared" si="2"/>
        <v>0</v>
      </c>
      <c r="V10" s="71">
        <f t="shared" si="2"/>
        <v>1430.952</v>
      </c>
      <c r="W10" s="71">
        <f t="shared" si="2"/>
        <v>0</v>
      </c>
      <c r="X10" s="71">
        <f t="shared" si="2"/>
        <v>971.00700000000006</v>
      </c>
      <c r="Y10" s="71">
        <f t="shared" si="2"/>
        <v>0</v>
      </c>
      <c r="Z10" s="71">
        <f t="shared" si="2"/>
        <v>817.31</v>
      </c>
      <c r="AA10" s="71">
        <f t="shared" si="2"/>
        <v>0</v>
      </c>
      <c r="AB10" s="71">
        <f t="shared" si="2"/>
        <v>928.08600000000001</v>
      </c>
      <c r="AC10" s="71">
        <f t="shared" si="2"/>
        <v>0</v>
      </c>
      <c r="AD10" s="71">
        <f t="shared" si="2"/>
        <v>781.66000000000008</v>
      </c>
      <c r="AE10" s="71">
        <f t="shared" si="2"/>
        <v>0</v>
      </c>
      <c r="AF10" s="71">
        <f t="shared" si="2"/>
        <v>1384.3309999999999</v>
      </c>
      <c r="AG10" s="71">
        <f>AG14+AG19+AG35</f>
        <v>0</v>
      </c>
      <c r="AH10" s="72"/>
    </row>
    <row r="11" spans="1:35" s="22" customFormat="1" ht="38.25" customHeight="1" x14ac:dyDescent="0.25">
      <c r="A11" s="365"/>
      <c r="B11" s="368"/>
      <c r="C11" s="73" t="s">
        <v>21</v>
      </c>
      <c r="D11" s="70">
        <f>SUM(J11,L11,N11,P11,R11,T11,V11,X11,Z11,AB11,AD11,AF11)</f>
        <v>18576.700299999997</v>
      </c>
      <c r="E11" s="70">
        <f>J11</f>
        <v>1782.4160000000002</v>
      </c>
      <c r="F11" s="70">
        <f>G11</f>
        <v>5012.66</v>
      </c>
      <c r="G11" s="70">
        <f>SUM(K11,M11,O11,Q11,S11,U11,W11,Y11,AA11,AC11,AE11,AG11)</f>
        <v>5012.66</v>
      </c>
      <c r="H11" s="70">
        <f>IFERROR(G11/D11*100,0)</f>
        <v>26.983586530703736</v>
      </c>
      <c r="I11" s="70">
        <f>IFERROR(G11/E11*100,0)</f>
        <v>281.2284001041283</v>
      </c>
      <c r="J11" s="70">
        <f t="shared" ref="J11:AE11" si="3">J15+J17+J20+J24+J26+J29+J31+J33+J38</f>
        <v>1782.4160000000002</v>
      </c>
      <c r="K11" s="210">
        <f t="shared" si="3"/>
        <v>1148.3910000000001</v>
      </c>
      <c r="L11" s="70">
        <f t="shared" si="3"/>
        <v>1915.751</v>
      </c>
      <c r="M11" s="281">
        <f t="shared" si="3"/>
        <v>2730.5540000000001</v>
      </c>
      <c r="N11" s="70">
        <f t="shared" si="3"/>
        <v>1141.4690000000001</v>
      </c>
      <c r="O11" s="257">
        <f t="shared" si="3"/>
        <v>1133.7150000000001</v>
      </c>
      <c r="P11" s="70">
        <f t="shared" si="3"/>
        <v>1546.3922999999998</v>
      </c>
      <c r="Q11" s="70">
        <f t="shared" si="3"/>
        <v>0</v>
      </c>
      <c r="R11" s="70">
        <f t="shared" si="3"/>
        <v>1570.663</v>
      </c>
      <c r="S11" s="70">
        <f t="shared" si="3"/>
        <v>0</v>
      </c>
      <c r="T11" s="70">
        <f t="shared" si="3"/>
        <v>1178.1849999999999</v>
      </c>
      <c r="U11" s="70">
        <f t="shared" si="3"/>
        <v>0</v>
      </c>
      <c r="V11" s="70">
        <f t="shared" si="3"/>
        <v>1547.248</v>
      </c>
      <c r="W11" s="70">
        <f t="shared" si="3"/>
        <v>0</v>
      </c>
      <c r="X11" s="70">
        <f t="shared" si="3"/>
        <v>1343.952</v>
      </c>
      <c r="Y11" s="70">
        <f t="shared" si="3"/>
        <v>0</v>
      </c>
      <c r="Z11" s="70">
        <f t="shared" si="3"/>
        <v>1154.4279999999999</v>
      </c>
      <c r="AA11" s="70">
        <f t="shared" si="3"/>
        <v>0</v>
      </c>
      <c r="AB11" s="70">
        <f t="shared" si="3"/>
        <v>1577.278</v>
      </c>
      <c r="AC11" s="70">
        <f t="shared" si="3"/>
        <v>0</v>
      </c>
      <c r="AD11" s="70">
        <f t="shared" si="3"/>
        <v>1163.2570000000001</v>
      </c>
      <c r="AE11" s="70">
        <f t="shared" si="3"/>
        <v>0</v>
      </c>
      <c r="AF11" s="70">
        <f>AF15+AF17+AF20+AF24+AF26+AF29+AF31+AF33+AF38</f>
        <v>2655.6609999999996</v>
      </c>
      <c r="AG11" s="70">
        <f>AG15+AG17+AG20+AG24+AG26+AG29+AG31+AG33+AG38</f>
        <v>0</v>
      </c>
      <c r="AH11" s="75"/>
    </row>
    <row r="12" spans="1:35" s="22" customFormat="1" ht="18.75" customHeight="1" x14ac:dyDescent="0.25">
      <c r="A12" s="132" t="s">
        <v>152</v>
      </c>
      <c r="B12" s="426" t="s">
        <v>219</v>
      </c>
      <c r="C12" s="427"/>
      <c r="D12" s="427"/>
      <c r="E12" s="427"/>
      <c r="F12" s="427"/>
      <c r="G12" s="427"/>
      <c r="H12" s="427"/>
      <c r="I12" s="427"/>
      <c r="J12" s="427"/>
      <c r="K12" s="427"/>
      <c r="L12" s="427"/>
      <c r="M12" s="427"/>
      <c r="N12" s="427"/>
      <c r="O12" s="427"/>
      <c r="P12" s="427"/>
      <c r="Q12" s="427"/>
      <c r="R12" s="427"/>
      <c r="S12" s="427"/>
      <c r="T12" s="427"/>
      <c r="U12" s="427"/>
      <c r="V12" s="427"/>
      <c r="W12" s="427"/>
      <c r="X12" s="427"/>
      <c r="Y12" s="427"/>
      <c r="Z12" s="427"/>
      <c r="AA12" s="427"/>
      <c r="AB12" s="427"/>
      <c r="AC12" s="427"/>
      <c r="AD12" s="427"/>
      <c r="AE12" s="427"/>
      <c r="AF12" s="427"/>
      <c r="AG12" s="428"/>
      <c r="AH12" s="75"/>
    </row>
    <row r="13" spans="1:35" s="221" customFormat="1" ht="41.25" customHeight="1" x14ac:dyDescent="0.25">
      <c r="A13" s="364" t="s">
        <v>153</v>
      </c>
      <c r="B13" s="409" t="s">
        <v>220</v>
      </c>
      <c r="C13" s="217" t="s">
        <v>20</v>
      </c>
      <c r="D13" s="218">
        <f>D14+D15</f>
        <v>645.1</v>
      </c>
      <c r="E13" s="218">
        <f t="shared" ref="E13:AF13" si="4">E14+E15</f>
        <v>0</v>
      </c>
      <c r="F13" s="218">
        <f t="shared" si="4"/>
        <v>0</v>
      </c>
      <c r="G13" s="218">
        <f t="shared" si="4"/>
        <v>0</v>
      </c>
      <c r="H13" s="218">
        <f t="shared" ref="H13:H26" si="5">IFERROR(G13/D13*100,0)</f>
        <v>0</v>
      </c>
      <c r="I13" s="218">
        <f t="shared" ref="I13:I26" si="6">IFERROR(G13/E13*100,0)</f>
        <v>0</v>
      </c>
      <c r="J13" s="218">
        <f t="shared" si="4"/>
        <v>0</v>
      </c>
      <c r="K13" s="218">
        <f t="shared" si="4"/>
        <v>0</v>
      </c>
      <c r="L13" s="218">
        <f t="shared" si="4"/>
        <v>0</v>
      </c>
      <c r="M13" s="280">
        <f t="shared" si="4"/>
        <v>0</v>
      </c>
      <c r="N13" s="218">
        <f t="shared" si="4"/>
        <v>7</v>
      </c>
      <c r="O13" s="258">
        <f t="shared" si="4"/>
        <v>0</v>
      </c>
      <c r="P13" s="218">
        <f t="shared" si="4"/>
        <v>159.02500000000001</v>
      </c>
      <c r="Q13" s="218">
        <f t="shared" si="4"/>
        <v>0</v>
      </c>
      <c r="R13" s="218">
        <f t="shared" si="4"/>
        <v>0</v>
      </c>
      <c r="S13" s="218">
        <f t="shared" si="4"/>
        <v>0</v>
      </c>
      <c r="T13" s="218">
        <f t="shared" si="4"/>
        <v>0</v>
      </c>
      <c r="U13" s="218">
        <f t="shared" si="4"/>
        <v>0</v>
      </c>
      <c r="V13" s="218">
        <f t="shared" si="4"/>
        <v>159.02500000000001</v>
      </c>
      <c r="W13" s="218">
        <f t="shared" si="4"/>
        <v>0</v>
      </c>
      <c r="X13" s="218">
        <f t="shared" si="4"/>
        <v>0</v>
      </c>
      <c r="Y13" s="218">
        <f t="shared" si="4"/>
        <v>0</v>
      </c>
      <c r="Z13" s="218">
        <f t="shared" si="4"/>
        <v>0</v>
      </c>
      <c r="AA13" s="218">
        <f t="shared" si="4"/>
        <v>0</v>
      </c>
      <c r="AB13" s="218">
        <f t="shared" si="4"/>
        <v>161.02500000000001</v>
      </c>
      <c r="AC13" s="218">
        <f t="shared" si="4"/>
        <v>0</v>
      </c>
      <c r="AD13" s="218">
        <f t="shared" si="4"/>
        <v>0</v>
      </c>
      <c r="AE13" s="218">
        <f t="shared" si="4"/>
        <v>0</v>
      </c>
      <c r="AF13" s="218">
        <f t="shared" si="4"/>
        <v>159.02500000000001</v>
      </c>
      <c r="AG13" s="218">
        <f>AG14+AG15</f>
        <v>0</v>
      </c>
      <c r="AH13" s="219"/>
      <c r="AI13" s="220"/>
    </row>
    <row r="14" spans="1:35" s="21" customFormat="1" ht="55.5" customHeight="1" x14ac:dyDescent="0.25">
      <c r="A14" s="365"/>
      <c r="B14" s="430"/>
      <c r="C14" s="73" t="s">
        <v>22</v>
      </c>
      <c r="D14" s="74">
        <f>SUM(J14,L14,N14,P14,R14,T14,V14,X14,Z14,AB14,AD14,AF14)</f>
        <v>147.4</v>
      </c>
      <c r="E14" s="74">
        <f>J14</f>
        <v>0</v>
      </c>
      <c r="F14" s="74">
        <f>G14</f>
        <v>0</v>
      </c>
      <c r="G14" s="74">
        <f>SUM(K14,M14,O14,Q14,S14,U14,W14,Y14,AA14,AC14,AE14,AG14)</f>
        <v>0</v>
      </c>
      <c r="H14" s="74">
        <f t="shared" si="5"/>
        <v>0</v>
      </c>
      <c r="I14" s="74">
        <f t="shared" si="6"/>
        <v>0</v>
      </c>
      <c r="J14" s="67">
        <v>0</v>
      </c>
      <c r="K14" s="211">
        <v>0</v>
      </c>
      <c r="L14" s="67">
        <v>0</v>
      </c>
      <c r="M14" s="282">
        <v>0</v>
      </c>
      <c r="N14" s="67">
        <v>0</v>
      </c>
      <c r="O14" s="310">
        <v>0</v>
      </c>
      <c r="P14" s="67">
        <v>36.85</v>
      </c>
      <c r="Q14" s="67">
        <v>0</v>
      </c>
      <c r="R14" s="67">
        <v>0</v>
      </c>
      <c r="S14" s="67">
        <v>0</v>
      </c>
      <c r="T14" s="67">
        <v>0</v>
      </c>
      <c r="U14" s="67">
        <v>0</v>
      </c>
      <c r="V14" s="71">
        <v>36.85</v>
      </c>
      <c r="W14" s="67">
        <v>0</v>
      </c>
      <c r="X14" s="67">
        <v>0</v>
      </c>
      <c r="Y14" s="67">
        <v>0</v>
      </c>
      <c r="Z14" s="67">
        <v>0</v>
      </c>
      <c r="AA14" s="67">
        <v>0</v>
      </c>
      <c r="AB14" s="67">
        <v>36.85</v>
      </c>
      <c r="AC14" s="67">
        <v>0</v>
      </c>
      <c r="AD14" s="67">
        <v>0</v>
      </c>
      <c r="AE14" s="67">
        <v>0</v>
      </c>
      <c r="AF14" s="67">
        <v>36.85</v>
      </c>
      <c r="AG14" s="67">
        <v>0</v>
      </c>
      <c r="AH14" s="72"/>
      <c r="AI14" s="23"/>
    </row>
    <row r="15" spans="1:35" s="21" customFormat="1" ht="32.25" customHeight="1" x14ac:dyDescent="0.25">
      <c r="A15" s="435"/>
      <c r="B15" s="458"/>
      <c r="C15" s="73" t="s">
        <v>21</v>
      </c>
      <c r="D15" s="74">
        <f>SUM(J15,L15,N15,P15,R15,T15,V15,X15,Z15,AB15,AD15,AF15)</f>
        <v>497.70000000000005</v>
      </c>
      <c r="E15" s="74">
        <f>J15</f>
        <v>0</v>
      </c>
      <c r="F15" s="74">
        <f>G15</f>
        <v>0</v>
      </c>
      <c r="G15" s="74">
        <f>SUM(K15,M15,O15,Q15,S15,U15,W15,Y15,AA15,AC15,AE15,AG15)</f>
        <v>0</v>
      </c>
      <c r="H15" s="74">
        <f t="shared" si="5"/>
        <v>0</v>
      </c>
      <c r="I15" s="74">
        <f t="shared" si="6"/>
        <v>0</v>
      </c>
      <c r="J15" s="67">
        <v>0</v>
      </c>
      <c r="K15" s="211">
        <v>0</v>
      </c>
      <c r="L15" s="67">
        <v>0</v>
      </c>
      <c r="M15" s="282">
        <v>0</v>
      </c>
      <c r="N15" s="67">
        <v>7</v>
      </c>
      <c r="O15" s="310">
        <v>0</v>
      </c>
      <c r="P15" s="67">
        <v>122.175</v>
      </c>
      <c r="Q15" s="67">
        <v>0</v>
      </c>
      <c r="R15" s="67">
        <v>0</v>
      </c>
      <c r="S15" s="67">
        <v>0</v>
      </c>
      <c r="T15" s="67">
        <v>0</v>
      </c>
      <c r="U15" s="67">
        <v>0</v>
      </c>
      <c r="V15" s="71">
        <v>122.175</v>
      </c>
      <c r="W15" s="67">
        <v>0</v>
      </c>
      <c r="X15" s="67">
        <v>0</v>
      </c>
      <c r="Y15" s="67">
        <v>0</v>
      </c>
      <c r="Z15" s="67">
        <v>0</v>
      </c>
      <c r="AA15" s="67">
        <v>0</v>
      </c>
      <c r="AB15" s="67">
        <v>124.175</v>
      </c>
      <c r="AC15" s="67">
        <v>0</v>
      </c>
      <c r="AD15" s="67">
        <v>0</v>
      </c>
      <c r="AE15" s="67">
        <v>0</v>
      </c>
      <c r="AF15" s="67">
        <v>122.175</v>
      </c>
      <c r="AG15" s="67">
        <v>0</v>
      </c>
      <c r="AH15" s="72"/>
      <c r="AI15" s="23"/>
    </row>
    <row r="16" spans="1:35" s="216" customFormat="1" ht="82.5" customHeight="1" x14ac:dyDescent="0.25">
      <c r="A16" s="364" t="s">
        <v>221</v>
      </c>
      <c r="B16" s="409" t="s">
        <v>222</v>
      </c>
      <c r="C16" s="213" t="s">
        <v>20</v>
      </c>
      <c r="D16" s="222">
        <f>D17</f>
        <v>9985.8989999999994</v>
      </c>
      <c r="E16" s="222">
        <f>E17</f>
        <v>829.63499999999999</v>
      </c>
      <c r="F16" s="222">
        <f>F17</f>
        <v>2065.0569999999998</v>
      </c>
      <c r="G16" s="222">
        <f>G17</f>
        <v>2065.0569999999998</v>
      </c>
      <c r="H16" s="222">
        <f t="shared" si="5"/>
        <v>20.679730487961073</v>
      </c>
      <c r="I16" s="222">
        <f t="shared" si="6"/>
        <v>248.91150927817654</v>
      </c>
      <c r="J16" s="214">
        <f t="shared" ref="J16:AG16" si="7">J17</f>
        <v>829.63499999999999</v>
      </c>
      <c r="K16" s="214">
        <f t="shared" si="7"/>
        <v>645.41700000000003</v>
      </c>
      <c r="L16" s="214">
        <f t="shared" si="7"/>
        <v>723.43700000000001</v>
      </c>
      <c r="M16" s="280">
        <f t="shared" si="7"/>
        <v>709.16099999999994</v>
      </c>
      <c r="N16" s="214">
        <f t="shared" si="7"/>
        <v>723.43700000000001</v>
      </c>
      <c r="O16" s="258">
        <f t="shared" si="7"/>
        <v>710.47900000000004</v>
      </c>
      <c r="P16" s="214">
        <f t="shared" si="7"/>
        <v>723.43700000000001</v>
      </c>
      <c r="Q16" s="214">
        <f t="shared" si="7"/>
        <v>0</v>
      </c>
      <c r="R16" s="214">
        <f>R17</f>
        <v>723.43700000000001</v>
      </c>
      <c r="S16" s="214">
        <f t="shared" si="7"/>
        <v>0</v>
      </c>
      <c r="T16" s="214">
        <f>T17</f>
        <v>723.43700000000001</v>
      </c>
      <c r="U16" s="214">
        <f t="shared" si="7"/>
        <v>0</v>
      </c>
      <c r="V16" s="214">
        <f>V17</f>
        <v>723.43700000000001</v>
      </c>
      <c r="W16" s="214">
        <f t="shared" si="7"/>
        <v>0</v>
      </c>
      <c r="X16" s="214">
        <f>X17</f>
        <v>723.43700000000001</v>
      </c>
      <c r="Y16" s="214">
        <f t="shared" si="7"/>
        <v>0</v>
      </c>
      <c r="Z16" s="214">
        <f>Z17</f>
        <v>723.43700000000001</v>
      </c>
      <c r="AA16" s="214">
        <f t="shared" si="7"/>
        <v>0</v>
      </c>
      <c r="AB16" s="214">
        <f>AB17</f>
        <v>723.43700000000001</v>
      </c>
      <c r="AC16" s="214">
        <f t="shared" si="7"/>
        <v>0</v>
      </c>
      <c r="AD16" s="214">
        <f>AD17</f>
        <v>723.43700000000001</v>
      </c>
      <c r="AE16" s="214">
        <f t="shared" si="7"/>
        <v>0</v>
      </c>
      <c r="AF16" s="214">
        <f>AF17</f>
        <v>1921.894</v>
      </c>
      <c r="AG16" s="214">
        <f t="shared" si="7"/>
        <v>0</v>
      </c>
      <c r="AH16" s="215" t="s">
        <v>335</v>
      </c>
      <c r="AI16" s="223"/>
    </row>
    <row r="17" spans="1:35" s="22" customFormat="1" ht="56.25" customHeight="1" x14ac:dyDescent="0.25">
      <c r="A17" s="366"/>
      <c r="B17" s="410"/>
      <c r="C17" s="73" t="s">
        <v>21</v>
      </c>
      <c r="D17" s="74">
        <f>SUM(J17,L17,N17,P17,R17,T17,V17,X17,Z17,AB17,AD17,AF17)</f>
        <v>9985.8989999999994</v>
      </c>
      <c r="E17" s="74">
        <f>J17</f>
        <v>829.63499999999999</v>
      </c>
      <c r="F17" s="74">
        <f>G17</f>
        <v>2065.0569999999998</v>
      </c>
      <c r="G17" s="74">
        <f>SUM(K17,M17,O17,Q17,S17,U17,W17,Y17,AA17,AC17,AE17,AG17)</f>
        <v>2065.0569999999998</v>
      </c>
      <c r="H17" s="74">
        <f t="shared" si="5"/>
        <v>20.679730487961073</v>
      </c>
      <c r="I17" s="74">
        <f t="shared" si="6"/>
        <v>248.91150927817654</v>
      </c>
      <c r="J17" s="67">
        <v>829.63499999999999</v>
      </c>
      <c r="K17" s="211">
        <v>645.41700000000003</v>
      </c>
      <c r="L17" s="67">
        <v>723.43700000000001</v>
      </c>
      <c r="M17" s="282">
        <v>709.16099999999994</v>
      </c>
      <c r="N17" s="67">
        <v>723.43700000000001</v>
      </c>
      <c r="O17" s="310">
        <v>710.47900000000004</v>
      </c>
      <c r="P17" s="67">
        <v>723.43700000000001</v>
      </c>
      <c r="Q17" s="67">
        <v>0</v>
      </c>
      <c r="R17" s="67">
        <v>723.43700000000001</v>
      </c>
      <c r="S17" s="67">
        <v>0</v>
      </c>
      <c r="T17" s="67">
        <v>723.43700000000001</v>
      </c>
      <c r="U17" s="67">
        <v>0</v>
      </c>
      <c r="V17" s="67">
        <v>723.43700000000001</v>
      </c>
      <c r="W17" s="67">
        <v>0</v>
      </c>
      <c r="X17" s="67">
        <v>723.43700000000001</v>
      </c>
      <c r="Y17" s="67">
        <v>0</v>
      </c>
      <c r="Z17" s="67">
        <v>723.43700000000001</v>
      </c>
      <c r="AA17" s="67">
        <v>0</v>
      </c>
      <c r="AB17" s="67">
        <v>723.43700000000001</v>
      </c>
      <c r="AC17" s="67">
        <v>0</v>
      </c>
      <c r="AD17" s="67">
        <v>723.43700000000001</v>
      </c>
      <c r="AE17" s="67">
        <v>0</v>
      </c>
      <c r="AF17" s="67">
        <v>1921.894</v>
      </c>
      <c r="AG17" s="67">
        <v>0</v>
      </c>
      <c r="AH17" s="75"/>
      <c r="AI17" s="20"/>
    </row>
    <row r="18" spans="1:35" s="229" customFormat="1" ht="55.5" customHeight="1" x14ac:dyDescent="0.25">
      <c r="A18" s="364" t="s">
        <v>223</v>
      </c>
      <c r="B18" s="409" t="s">
        <v>224</v>
      </c>
      <c r="C18" s="224" t="s">
        <v>20</v>
      </c>
      <c r="D18" s="225">
        <f>D19+D20</f>
        <v>2482.8030000000003</v>
      </c>
      <c r="E18" s="225">
        <f t="shared" ref="E18:G18" si="8">E19+E20</f>
        <v>254.137</v>
      </c>
      <c r="F18" s="225">
        <f t="shared" si="8"/>
        <v>501.84800000000001</v>
      </c>
      <c r="G18" s="225">
        <f t="shared" si="8"/>
        <v>501.84800000000001</v>
      </c>
      <c r="H18" s="225">
        <f t="shared" si="5"/>
        <v>20.212960915545857</v>
      </c>
      <c r="I18" s="225">
        <f t="shared" si="6"/>
        <v>197.47144256837848</v>
      </c>
      <c r="J18" s="226">
        <f t="shared" ref="J18:AF18" si="9">J19+J20</f>
        <v>254.137</v>
      </c>
      <c r="K18" s="226">
        <f>K19+K20</f>
        <v>146.232</v>
      </c>
      <c r="L18" s="226">
        <f t="shared" si="9"/>
        <v>180.916</v>
      </c>
      <c r="M18" s="280">
        <f t="shared" si="9"/>
        <v>206.92600000000002</v>
      </c>
      <c r="N18" s="226">
        <f t="shared" si="9"/>
        <v>208.024</v>
      </c>
      <c r="O18" s="258">
        <f t="shared" si="9"/>
        <v>0</v>
      </c>
      <c r="P18" s="226">
        <f t="shared" si="9"/>
        <v>168.93299999999999</v>
      </c>
      <c r="Q18" s="226">
        <f t="shared" si="9"/>
        <v>148.69</v>
      </c>
      <c r="R18" s="226">
        <f t="shared" si="9"/>
        <v>151.97900000000001</v>
      </c>
      <c r="S18" s="226">
        <f t="shared" si="9"/>
        <v>0</v>
      </c>
      <c r="T18" s="226">
        <f t="shared" si="9"/>
        <v>379.435</v>
      </c>
      <c r="U18" s="226">
        <f t="shared" si="9"/>
        <v>0</v>
      </c>
      <c r="V18" s="226">
        <f t="shared" si="9"/>
        <v>273.57</v>
      </c>
      <c r="W18" s="226">
        <f t="shared" si="9"/>
        <v>0</v>
      </c>
      <c r="X18" s="226">
        <f t="shared" si="9"/>
        <v>151.97800000000001</v>
      </c>
      <c r="Y18" s="226">
        <f t="shared" si="9"/>
        <v>0</v>
      </c>
      <c r="Z18" s="226">
        <f t="shared" si="9"/>
        <v>151.97800000000001</v>
      </c>
      <c r="AA18" s="226">
        <f t="shared" si="9"/>
        <v>0</v>
      </c>
      <c r="AB18" s="226">
        <f t="shared" si="9"/>
        <v>163.511</v>
      </c>
      <c r="AC18" s="226">
        <f t="shared" si="9"/>
        <v>0</v>
      </c>
      <c r="AD18" s="226">
        <f t="shared" si="9"/>
        <v>151.97800000000001</v>
      </c>
      <c r="AE18" s="226">
        <f t="shared" si="9"/>
        <v>0</v>
      </c>
      <c r="AF18" s="226">
        <f t="shared" si="9"/>
        <v>246.364</v>
      </c>
      <c r="AG18" s="226">
        <f>AG19+AG20</f>
        <v>0</v>
      </c>
      <c r="AH18" s="227"/>
      <c r="AI18" s="228"/>
    </row>
    <row r="19" spans="1:35" s="21" customFormat="1" ht="45" customHeight="1" x14ac:dyDescent="0.25">
      <c r="A19" s="365"/>
      <c r="B19" s="430"/>
      <c r="C19" s="73" t="s">
        <v>22</v>
      </c>
      <c r="D19" s="74">
        <f>SUM(J19,L19,N19,P19,R19,T19,V19,X19,Z19,AB19,AD19,AF19)</f>
        <v>2370.4010000000003</v>
      </c>
      <c r="E19" s="74">
        <f>J19</f>
        <v>248.60900000000001</v>
      </c>
      <c r="F19" s="74">
        <f>G19</f>
        <v>495.77100000000002</v>
      </c>
      <c r="G19" s="74">
        <f>SUM(K19,M19,O19,Q19,S19,U19,W19,Y19,AA19,AC19,AE19,AG19)</f>
        <v>495.77100000000002</v>
      </c>
      <c r="H19" s="74">
        <f t="shared" si="5"/>
        <v>20.915068800595339</v>
      </c>
      <c r="I19" s="74">
        <f t="shared" si="6"/>
        <v>199.41796153799743</v>
      </c>
      <c r="J19" s="67">
        <v>248.60900000000001</v>
      </c>
      <c r="K19" s="211">
        <v>140.70500000000001</v>
      </c>
      <c r="L19" s="67">
        <v>180.916</v>
      </c>
      <c r="M19" s="282">
        <v>206.376</v>
      </c>
      <c r="N19" s="67">
        <v>208.024</v>
      </c>
      <c r="O19" s="310">
        <v>0</v>
      </c>
      <c r="P19" s="67">
        <v>161.57499999999999</v>
      </c>
      <c r="Q19" s="67">
        <v>148.69</v>
      </c>
      <c r="R19" s="67">
        <v>151.97900000000001</v>
      </c>
      <c r="S19" s="67">
        <v>0</v>
      </c>
      <c r="T19" s="67">
        <v>323.03500000000003</v>
      </c>
      <c r="U19" s="67">
        <v>0</v>
      </c>
      <c r="V19" s="67">
        <v>237.81200000000001</v>
      </c>
      <c r="W19" s="67">
        <v>0</v>
      </c>
      <c r="X19" s="67">
        <v>151.97800000000001</v>
      </c>
      <c r="Y19" s="67">
        <v>0</v>
      </c>
      <c r="Z19" s="67">
        <v>151.97800000000001</v>
      </c>
      <c r="AA19" s="67">
        <v>0</v>
      </c>
      <c r="AB19" s="67">
        <v>156.15299999999999</v>
      </c>
      <c r="AC19" s="67">
        <v>0</v>
      </c>
      <c r="AD19" s="67">
        <v>151.97800000000001</v>
      </c>
      <c r="AE19" s="67">
        <v>0</v>
      </c>
      <c r="AF19" s="67">
        <v>246.364</v>
      </c>
      <c r="AG19" s="67">
        <v>0</v>
      </c>
      <c r="AH19" s="72"/>
      <c r="AI19" s="20"/>
    </row>
    <row r="20" spans="1:35" s="22" customFormat="1" ht="63" customHeight="1" x14ac:dyDescent="0.25">
      <c r="A20" s="366"/>
      <c r="B20" s="410"/>
      <c r="C20" s="73" t="s">
        <v>21</v>
      </c>
      <c r="D20" s="74">
        <f>SUM(J20,L20,N20,P20,R20,T20,V20,X20,Z20,AB20,AD20,AF20)</f>
        <v>112.40200000000002</v>
      </c>
      <c r="E20" s="74">
        <f>J20</f>
        <v>5.5279999999999996</v>
      </c>
      <c r="F20" s="74">
        <f>G20</f>
        <v>6.077</v>
      </c>
      <c r="G20" s="74">
        <f>SUM(K20,M20,O20,Q20,S20,U20,W20,Y20,AA20,AC20,AE20,AG20)</f>
        <v>6.077</v>
      </c>
      <c r="H20" s="74">
        <f t="shared" si="5"/>
        <v>5.4064874290493048</v>
      </c>
      <c r="I20" s="74">
        <f t="shared" si="6"/>
        <v>109.93125904486251</v>
      </c>
      <c r="J20" s="67">
        <v>5.5279999999999996</v>
      </c>
      <c r="K20" s="211">
        <v>5.5270000000000001</v>
      </c>
      <c r="L20" s="67">
        <v>0</v>
      </c>
      <c r="M20" s="282">
        <v>0.55000000000000004</v>
      </c>
      <c r="N20" s="67">
        <v>0</v>
      </c>
      <c r="O20" s="310">
        <v>0</v>
      </c>
      <c r="P20" s="67">
        <v>7.3579999999999997</v>
      </c>
      <c r="Q20" s="67">
        <v>0</v>
      </c>
      <c r="R20" s="67">
        <v>0</v>
      </c>
      <c r="S20" s="67">
        <v>0</v>
      </c>
      <c r="T20" s="67">
        <v>56.4</v>
      </c>
      <c r="U20" s="67">
        <v>0</v>
      </c>
      <c r="V20" s="67">
        <v>35.758000000000003</v>
      </c>
      <c r="W20" s="67">
        <v>0</v>
      </c>
      <c r="X20" s="67">
        <v>0</v>
      </c>
      <c r="Y20" s="67">
        <v>0</v>
      </c>
      <c r="Z20" s="67">
        <v>0</v>
      </c>
      <c r="AA20" s="67">
        <v>0</v>
      </c>
      <c r="AB20" s="67">
        <v>7.3579999999999997</v>
      </c>
      <c r="AC20" s="67">
        <v>0</v>
      </c>
      <c r="AD20" s="67">
        <v>0</v>
      </c>
      <c r="AE20" s="67">
        <v>0</v>
      </c>
      <c r="AF20" s="67">
        <v>0</v>
      </c>
      <c r="AG20" s="67">
        <v>0</v>
      </c>
      <c r="AH20" s="75"/>
      <c r="AI20" s="20"/>
    </row>
    <row r="21" spans="1:35" s="235" customFormat="1" ht="92.25" customHeight="1" x14ac:dyDescent="0.25">
      <c r="A21" s="364" t="s">
        <v>225</v>
      </c>
      <c r="B21" s="409" t="s">
        <v>226</v>
      </c>
      <c r="C21" s="230" t="s">
        <v>20</v>
      </c>
      <c r="D21" s="231">
        <f>D22</f>
        <v>4.5999999999999996</v>
      </c>
      <c r="E21" s="231">
        <f t="shared" ref="E21:G37" si="10">E22</f>
        <v>0</v>
      </c>
      <c r="F21" s="231">
        <f t="shared" si="10"/>
        <v>0</v>
      </c>
      <c r="G21" s="231">
        <f t="shared" si="10"/>
        <v>0</v>
      </c>
      <c r="H21" s="231">
        <f t="shared" si="5"/>
        <v>0</v>
      </c>
      <c r="I21" s="231">
        <f t="shared" si="6"/>
        <v>0</v>
      </c>
      <c r="J21" s="232">
        <f t="shared" ref="J21:AG21" si="11">J22</f>
        <v>0</v>
      </c>
      <c r="K21" s="232">
        <f t="shared" si="11"/>
        <v>0</v>
      </c>
      <c r="L21" s="232">
        <f t="shared" si="11"/>
        <v>0</v>
      </c>
      <c r="M21" s="280">
        <f t="shared" si="11"/>
        <v>0</v>
      </c>
      <c r="N21" s="232">
        <f t="shared" si="11"/>
        <v>0</v>
      </c>
      <c r="O21" s="258">
        <f t="shared" si="11"/>
        <v>0</v>
      </c>
      <c r="P21" s="232">
        <f t="shared" si="11"/>
        <v>1.8</v>
      </c>
      <c r="Q21" s="232">
        <f t="shared" si="11"/>
        <v>0</v>
      </c>
      <c r="R21" s="232">
        <f t="shared" si="11"/>
        <v>0</v>
      </c>
      <c r="S21" s="232">
        <f t="shared" si="11"/>
        <v>0</v>
      </c>
      <c r="T21" s="232">
        <f t="shared" si="11"/>
        <v>0</v>
      </c>
      <c r="U21" s="232">
        <f t="shared" si="11"/>
        <v>0</v>
      </c>
      <c r="V21" s="232">
        <f t="shared" si="11"/>
        <v>0</v>
      </c>
      <c r="W21" s="232">
        <f t="shared" si="11"/>
        <v>0</v>
      </c>
      <c r="X21" s="232">
        <f t="shared" si="11"/>
        <v>0</v>
      </c>
      <c r="Y21" s="232">
        <f t="shared" si="11"/>
        <v>0</v>
      </c>
      <c r="Z21" s="232">
        <f t="shared" si="11"/>
        <v>0</v>
      </c>
      <c r="AA21" s="232">
        <f t="shared" si="11"/>
        <v>0</v>
      </c>
      <c r="AB21" s="232">
        <f t="shared" si="11"/>
        <v>2.8</v>
      </c>
      <c r="AC21" s="232">
        <f t="shared" si="11"/>
        <v>0</v>
      </c>
      <c r="AD21" s="232">
        <f t="shared" si="11"/>
        <v>0</v>
      </c>
      <c r="AE21" s="232">
        <f t="shared" si="11"/>
        <v>0</v>
      </c>
      <c r="AF21" s="232">
        <f t="shared" si="11"/>
        <v>0</v>
      </c>
      <c r="AG21" s="232">
        <f t="shared" si="11"/>
        <v>0</v>
      </c>
      <c r="AH21" s="233"/>
      <c r="AI21" s="234"/>
    </row>
    <row r="22" spans="1:35" s="22" customFormat="1" ht="105.75" customHeight="1" x14ac:dyDescent="0.25">
      <c r="A22" s="366"/>
      <c r="B22" s="410"/>
      <c r="C22" s="73" t="s">
        <v>52</v>
      </c>
      <c r="D22" s="74">
        <f>SUM(J22,L22,N22,P22,R22,T22,V22,X22,Z22,AB22,AD22,AF22)</f>
        <v>4.5999999999999996</v>
      </c>
      <c r="E22" s="74">
        <f>J22</f>
        <v>0</v>
      </c>
      <c r="F22" s="74">
        <f>G22</f>
        <v>0</v>
      </c>
      <c r="G22" s="74">
        <f>SUM(K22,M22,O22,Q22,S22,U22,W22,Y22,AA22,AC22,AE22,AG22)</f>
        <v>0</v>
      </c>
      <c r="H22" s="74">
        <f t="shared" si="5"/>
        <v>0</v>
      </c>
      <c r="I22" s="74">
        <f t="shared" si="6"/>
        <v>0</v>
      </c>
      <c r="J22" s="67">
        <v>0</v>
      </c>
      <c r="K22" s="211">
        <v>0</v>
      </c>
      <c r="L22" s="67">
        <v>0</v>
      </c>
      <c r="M22" s="282">
        <v>0</v>
      </c>
      <c r="N22" s="67">
        <v>0</v>
      </c>
      <c r="O22" s="310">
        <v>0</v>
      </c>
      <c r="P22" s="67">
        <v>1.8</v>
      </c>
      <c r="Q22" s="67">
        <v>0</v>
      </c>
      <c r="R22" s="67">
        <v>0</v>
      </c>
      <c r="S22" s="67">
        <v>0</v>
      </c>
      <c r="T22" s="67">
        <v>0</v>
      </c>
      <c r="U22" s="67">
        <v>0</v>
      </c>
      <c r="V22" s="67">
        <v>0</v>
      </c>
      <c r="W22" s="67">
        <v>0</v>
      </c>
      <c r="X22" s="67">
        <v>0</v>
      </c>
      <c r="Y22" s="67">
        <v>0</v>
      </c>
      <c r="Z22" s="67">
        <v>0</v>
      </c>
      <c r="AA22" s="67">
        <v>0</v>
      </c>
      <c r="AB22" s="67">
        <v>2.8</v>
      </c>
      <c r="AC22" s="67">
        <v>0</v>
      </c>
      <c r="AD22" s="67">
        <v>0</v>
      </c>
      <c r="AE22" s="67">
        <v>0</v>
      </c>
      <c r="AF22" s="67">
        <v>0</v>
      </c>
      <c r="AG22" s="67">
        <v>0</v>
      </c>
      <c r="AH22" s="75"/>
      <c r="AI22" s="20"/>
    </row>
    <row r="23" spans="1:35" s="263" customFormat="1" ht="96" customHeight="1" x14ac:dyDescent="0.25">
      <c r="A23" s="364" t="s">
        <v>227</v>
      </c>
      <c r="B23" s="409" t="s">
        <v>228</v>
      </c>
      <c r="C23" s="230" t="s">
        <v>20</v>
      </c>
      <c r="D23" s="231">
        <f>D24</f>
        <v>262.50000000000006</v>
      </c>
      <c r="E23" s="231">
        <f t="shared" si="10"/>
        <v>0</v>
      </c>
      <c r="F23" s="231">
        <f t="shared" si="10"/>
        <v>895.13</v>
      </c>
      <c r="G23" s="231">
        <f t="shared" si="10"/>
        <v>895.13</v>
      </c>
      <c r="H23" s="231">
        <f t="shared" si="5"/>
        <v>341.00190476190471</v>
      </c>
      <c r="I23" s="231">
        <f t="shared" si="6"/>
        <v>0</v>
      </c>
      <c r="J23" s="232">
        <f t="shared" ref="J23:AG23" si="12">J24</f>
        <v>0</v>
      </c>
      <c r="K23" s="232">
        <f t="shared" si="12"/>
        <v>0</v>
      </c>
      <c r="L23" s="232">
        <f t="shared" si="12"/>
        <v>8.3520000000000003</v>
      </c>
      <c r="M23" s="280">
        <f t="shared" si="12"/>
        <v>886.77800000000002</v>
      </c>
      <c r="N23" s="232">
        <f t="shared" si="12"/>
        <v>8.3520000000000003</v>
      </c>
      <c r="O23" s="258">
        <f t="shared" si="12"/>
        <v>8.3520000000000003</v>
      </c>
      <c r="P23" s="232">
        <f t="shared" si="12"/>
        <v>8.3520000000000003</v>
      </c>
      <c r="Q23" s="232">
        <f t="shared" si="12"/>
        <v>0</v>
      </c>
      <c r="R23" s="232">
        <f t="shared" si="12"/>
        <v>8.3520000000000003</v>
      </c>
      <c r="S23" s="232">
        <f t="shared" si="12"/>
        <v>0</v>
      </c>
      <c r="T23" s="232">
        <f t="shared" si="12"/>
        <v>8.3520000000000003</v>
      </c>
      <c r="U23" s="232">
        <f t="shared" si="12"/>
        <v>0</v>
      </c>
      <c r="V23" s="232">
        <f t="shared" si="12"/>
        <v>8.3520000000000003</v>
      </c>
      <c r="W23" s="232">
        <f t="shared" si="12"/>
        <v>0</v>
      </c>
      <c r="X23" s="232">
        <f t="shared" si="12"/>
        <v>8.3520000000000003</v>
      </c>
      <c r="Y23" s="232">
        <f t="shared" si="12"/>
        <v>0</v>
      </c>
      <c r="Z23" s="232">
        <f t="shared" si="12"/>
        <v>8.3520000000000003</v>
      </c>
      <c r="AA23" s="232">
        <f t="shared" si="12"/>
        <v>0</v>
      </c>
      <c r="AB23" s="232">
        <f t="shared" si="12"/>
        <v>191.452</v>
      </c>
      <c r="AC23" s="232">
        <f t="shared" si="12"/>
        <v>0</v>
      </c>
      <c r="AD23" s="232">
        <f t="shared" si="12"/>
        <v>4.2320000000000002</v>
      </c>
      <c r="AE23" s="232">
        <f t="shared" si="12"/>
        <v>0</v>
      </c>
      <c r="AF23" s="232">
        <f t="shared" si="12"/>
        <v>0</v>
      </c>
      <c r="AG23" s="232">
        <f t="shared" si="12"/>
        <v>0</v>
      </c>
      <c r="AH23" s="233"/>
      <c r="AI23" s="262"/>
    </row>
    <row r="24" spans="1:35" s="18" customFormat="1" ht="107.25" customHeight="1" x14ac:dyDescent="0.25">
      <c r="A24" s="366"/>
      <c r="B24" s="410"/>
      <c r="C24" s="73" t="s">
        <v>21</v>
      </c>
      <c r="D24" s="74">
        <f>SUM(J24,L24,N24,P24,R24,T24,V24,X24,Z24,AB24,AD24,AF24)</f>
        <v>262.50000000000006</v>
      </c>
      <c r="E24" s="74">
        <f>J24</f>
        <v>0</v>
      </c>
      <c r="F24" s="74">
        <f>G24</f>
        <v>895.13</v>
      </c>
      <c r="G24" s="74">
        <f>SUM(K24,M24,O24,Q24,S24,U24,W24,Y24,AA24,AC24,AE24,AG24)</f>
        <v>895.13</v>
      </c>
      <c r="H24" s="74">
        <f t="shared" si="5"/>
        <v>341.00190476190471</v>
      </c>
      <c r="I24" s="74">
        <f t="shared" si="6"/>
        <v>0</v>
      </c>
      <c r="J24" s="67">
        <v>0</v>
      </c>
      <c r="K24" s="211">
        <v>0</v>
      </c>
      <c r="L24" s="67">
        <v>8.3520000000000003</v>
      </c>
      <c r="M24" s="282">
        <v>886.77800000000002</v>
      </c>
      <c r="N24" s="67">
        <v>8.3520000000000003</v>
      </c>
      <c r="O24" s="310">
        <v>8.3520000000000003</v>
      </c>
      <c r="P24" s="67">
        <v>8.3520000000000003</v>
      </c>
      <c r="Q24" s="67">
        <v>0</v>
      </c>
      <c r="R24" s="67">
        <v>8.3520000000000003</v>
      </c>
      <c r="S24" s="67">
        <v>0</v>
      </c>
      <c r="T24" s="67">
        <v>8.3520000000000003</v>
      </c>
      <c r="U24" s="67">
        <v>0</v>
      </c>
      <c r="V24" s="67">
        <v>8.3520000000000003</v>
      </c>
      <c r="W24" s="67">
        <v>0</v>
      </c>
      <c r="X24" s="67">
        <v>8.3520000000000003</v>
      </c>
      <c r="Y24" s="67">
        <v>0</v>
      </c>
      <c r="Z24" s="67">
        <v>8.3520000000000003</v>
      </c>
      <c r="AA24" s="67">
        <v>0</v>
      </c>
      <c r="AB24" s="67">
        <v>191.452</v>
      </c>
      <c r="AC24" s="67">
        <v>0</v>
      </c>
      <c r="AD24" s="67">
        <v>4.2320000000000002</v>
      </c>
      <c r="AE24" s="67">
        <v>0</v>
      </c>
      <c r="AF24" s="67">
        <v>0</v>
      </c>
      <c r="AG24" s="67">
        <v>0</v>
      </c>
      <c r="AH24" s="75"/>
      <c r="AI24" s="19"/>
    </row>
    <row r="25" spans="1:35" s="261" customFormat="1" ht="60.75" customHeight="1" x14ac:dyDescent="0.25">
      <c r="A25" s="364" t="s">
        <v>229</v>
      </c>
      <c r="B25" s="409" t="s">
        <v>230</v>
      </c>
      <c r="C25" s="256" t="s">
        <v>20</v>
      </c>
      <c r="D25" s="257">
        <f>D26</f>
        <v>514.6</v>
      </c>
      <c r="E25" s="257">
        <f t="shared" si="10"/>
        <v>15</v>
      </c>
      <c r="F25" s="257">
        <f t="shared" si="10"/>
        <v>77</v>
      </c>
      <c r="G25" s="257">
        <f t="shared" si="10"/>
        <v>77</v>
      </c>
      <c r="H25" s="257">
        <f t="shared" si="5"/>
        <v>14.963078118927323</v>
      </c>
      <c r="I25" s="257">
        <f t="shared" si="6"/>
        <v>513.33333333333337</v>
      </c>
      <c r="J25" s="258">
        <f t="shared" ref="J25:AG25" si="13">J26</f>
        <v>15</v>
      </c>
      <c r="K25" s="258">
        <f t="shared" si="13"/>
        <v>0</v>
      </c>
      <c r="L25" s="258">
        <f t="shared" si="13"/>
        <v>237.3</v>
      </c>
      <c r="M25" s="280">
        <f t="shared" si="13"/>
        <v>77</v>
      </c>
      <c r="N25" s="258">
        <f t="shared" si="13"/>
        <v>0</v>
      </c>
      <c r="O25" s="258">
        <f t="shared" si="13"/>
        <v>0</v>
      </c>
      <c r="P25" s="258">
        <f t="shared" si="13"/>
        <v>33.299999999999997</v>
      </c>
      <c r="Q25" s="258">
        <f t="shared" si="13"/>
        <v>0</v>
      </c>
      <c r="R25" s="258">
        <f t="shared" si="13"/>
        <v>229</v>
      </c>
      <c r="S25" s="258">
        <f t="shared" si="13"/>
        <v>0</v>
      </c>
      <c r="T25" s="258">
        <f t="shared" si="13"/>
        <v>0</v>
      </c>
      <c r="U25" s="258">
        <f t="shared" si="13"/>
        <v>0</v>
      </c>
      <c r="V25" s="258">
        <f t="shared" si="13"/>
        <v>0</v>
      </c>
      <c r="W25" s="258">
        <f t="shared" si="13"/>
        <v>0</v>
      </c>
      <c r="X25" s="258">
        <f t="shared" si="13"/>
        <v>0</v>
      </c>
      <c r="Y25" s="258">
        <f t="shared" si="13"/>
        <v>0</v>
      </c>
      <c r="Z25" s="258">
        <f t="shared" si="13"/>
        <v>0</v>
      </c>
      <c r="AA25" s="258">
        <f t="shared" si="13"/>
        <v>0</v>
      </c>
      <c r="AB25" s="258">
        <f t="shared" si="13"/>
        <v>0</v>
      </c>
      <c r="AC25" s="258">
        <f t="shared" si="13"/>
        <v>0</v>
      </c>
      <c r="AD25" s="258">
        <f t="shared" si="13"/>
        <v>0</v>
      </c>
      <c r="AE25" s="258">
        <f t="shared" si="13"/>
        <v>0</v>
      </c>
      <c r="AF25" s="258">
        <f t="shared" si="13"/>
        <v>0</v>
      </c>
      <c r="AG25" s="258">
        <f t="shared" si="13"/>
        <v>0</v>
      </c>
      <c r="AH25" s="259"/>
      <c r="AI25" s="260"/>
    </row>
    <row r="26" spans="1:35" s="18" customFormat="1" ht="58.5" customHeight="1" x14ac:dyDescent="0.25">
      <c r="A26" s="366"/>
      <c r="B26" s="410"/>
      <c r="C26" s="73" t="s">
        <v>21</v>
      </c>
      <c r="D26" s="74">
        <f>SUM(J26,L26,N26,P26,R26,T26,V26,X26,Z26,AB26,AD26,AF26)</f>
        <v>514.6</v>
      </c>
      <c r="E26" s="74">
        <f>J26</f>
        <v>15</v>
      </c>
      <c r="F26" s="74">
        <f>G26</f>
        <v>77</v>
      </c>
      <c r="G26" s="74">
        <f>SUM(K26,M26,O26,Q26,S26,U26,W26,Y26,AA26,AC26,AE26,AG26)</f>
        <v>77</v>
      </c>
      <c r="H26" s="74">
        <f t="shared" si="5"/>
        <v>14.963078118927323</v>
      </c>
      <c r="I26" s="74">
        <f t="shared" si="6"/>
        <v>513.33333333333337</v>
      </c>
      <c r="J26" s="67">
        <v>15</v>
      </c>
      <c r="K26" s="211">
        <v>0</v>
      </c>
      <c r="L26" s="67">
        <v>237.3</v>
      </c>
      <c r="M26" s="282">
        <v>77</v>
      </c>
      <c r="N26" s="67">
        <v>0</v>
      </c>
      <c r="O26" s="310">
        <v>0</v>
      </c>
      <c r="P26" s="67">
        <v>33.299999999999997</v>
      </c>
      <c r="Q26" s="67">
        <v>0</v>
      </c>
      <c r="R26" s="67">
        <v>229</v>
      </c>
      <c r="S26" s="67">
        <v>0</v>
      </c>
      <c r="T26" s="67">
        <v>0</v>
      </c>
      <c r="U26" s="67">
        <v>0</v>
      </c>
      <c r="V26" s="67">
        <v>0</v>
      </c>
      <c r="W26" s="67">
        <v>0</v>
      </c>
      <c r="X26" s="67">
        <v>0</v>
      </c>
      <c r="Y26" s="67">
        <v>0</v>
      </c>
      <c r="Z26" s="67">
        <v>0</v>
      </c>
      <c r="AA26" s="67">
        <v>0</v>
      </c>
      <c r="AB26" s="67">
        <v>0</v>
      </c>
      <c r="AC26" s="67">
        <v>0</v>
      </c>
      <c r="AD26" s="67">
        <v>0</v>
      </c>
      <c r="AE26" s="67">
        <v>0</v>
      </c>
      <c r="AF26" s="67">
        <v>0</v>
      </c>
      <c r="AG26" s="67">
        <v>0</v>
      </c>
      <c r="AH26" s="75"/>
      <c r="AI26" s="19"/>
    </row>
    <row r="27" spans="1:35" s="22" customFormat="1" ht="18.75" customHeight="1" x14ac:dyDescent="0.25">
      <c r="A27" s="132" t="s">
        <v>154</v>
      </c>
      <c r="B27" s="426" t="s">
        <v>231</v>
      </c>
      <c r="C27" s="427"/>
      <c r="D27" s="427"/>
      <c r="E27" s="427"/>
      <c r="F27" s="427"/>
      <c r="G27" s="427"/>
      <c r="H27" s="427"/>
      <c r="I27" s="427"/>
      <c r="J27" s="427"/>
      <c r="K27" s="427"/>
      <c r="L27" s="427"/>
      <c r="M27" s="427"/>
      <c r="N27" s="427"/>
      <c r="O27" s="427"/>
      <c r="P27" s="427"/>
      <c r="Q27" s="427"/>
      <c r="R27" s="427"/>
      <c r="S27" s="427"/>
      <c r="T27" s="427"/>
      <c r="U27" s="427"/>
      <c r="V27" s="427"/>
      <c r="W27" s="427"/>
      <c r="X27" s="427"/>
      <c r="Y27" s="427"/>
      <c r="Z27" s="427"/>
      <c r="AA27" s="427"/>
      <c r="AB27" s="427"/>
      <c r="AC27" s="427"/>
      <c r="AD27" s="427"/>
      <c r="AE27" s="427"/>
      <c r="AF27" s="427"/>
      <c r="AG27" s="428"/>
      <c r="AH27" s="75"/>
    </row>
    <row r="28" spans="1:35" s="255" customFormat="1" ht="63.75" customHeight="1" x14ac:dyDescent="0.25">
      <c r="A28" s="364" t="s">
        <v>155</v>
      </c>
      <c r="B28" s="409" t="s">
        <v>232</v>
      </c>
      <c r="C28" s="250" t="s">
        <v>20</v>
      </c>
      <c r="D28" s="251">
        <f>D29</f>
        <v>150.39929999999998</v>
      </c>
      <c r="E28" s="251">
        <f t="shared" si="10"/>
        <v>150.39929999999998</v>
      </c>
      <c r="F28" s="251">
        <f>F29</f>
        <v>128.97</v>
      </c>
      <c r="G28" s="251">
        <f t="shared" si="10"/>
        <v>128.97</v>
      </c>
      <c r="H28" s="251">
        <f t="shared" ref="H28:H35" si="14">IFERROR(G28/D28*100,0)</f>
        <v>85.751728897674397</v>
      </c>
      <c r="I28" s="251">
        <f t="shared" ref="I28:I35" si="15">IFERROR(G28/E28*100,0)</f>
        <v>85.751728897674397</v>
      </c>
      <c r="J28" s="252">
        <f t="shared" ref="J28:AG28" si="16">J29</f>
        <v>21.484999999999999</v>
      </c>
      <c r="K28" s="252">
        <f t="shared" si="16"/>
        <v>0</v>
      </c>
      <c r="L28" s="252">
        <f t="shared" si="16"/>
        <v>128.91</v>
      </c>
      <c r="M28" s="280">
        <f t="shared" si="16"/>
        <v>128.97</v>
      </c>
      <c r="N28" s="252">
        <f t="shared" si="16"/>
        <v>0</v>
      </c>
      <c r="O28" s="258">
        <f t="shared" si="16"/>
        <v>0</v>
      </c>
      <c r="P28" s="252">
        <f t="shared" si="16"/>
        <v>4.3E-3</v>
      </c>
      <c r="Q28" s="252">
        <f t="shared" si="16"/>
        <v>0</v>
      </c>
      <c r="R28" s="252">
        <f t="shared" si="16"/>
        <v>0</v>
      </c>
      <c r="S28" s="252">
        <f t="shared" si="16"/>
        <v>0</v>
      </c>
      <c r="T28" s="252">
        <f t="shared" si="16"/>
        <v>0</v>
      </c>
      <c r="U28" s="252">
        <f t="shared" si="16"/>
        <v>0</v>
      </c>
      <c r="V28" s="252">
        <f t="shared" si="16"/>
        <v>0</v>
      </c>
      <c r="W28" s="252">
        <f t="shared" si="16"/>
        <v>0</v>
      </c>
      <c r="X28" s="252">
        <f t="shared" si="16"/>
        <v>0</v>
      </c>
      <c r="Y28" s="252">
        <f t="shared" si="16"/>
        <v>0</v>
      </c>
      <c r="Z28" s="252">
        <f t="shared" si="16"/>
        <v>0</v>
      </c>
      <c r="AA28" s="252">
        <f t="shared" si="16"/>
        <v>0</v>
      </c>
      <c r="AB28" s="252">
        <f t="shared" si="16"/>
        <v>0</v>
      </c>
      <c r="AC28" s="252">
        <f t="shared" si="16"/>
        <v>0</v>
      </c>
      <c r="AD28" s="252">
        <f t="shared" si="16"/>
        <v>0</v>
      </c>
      <c r="AE28" s="252">
        <f t="shared" si="16"/>
        <v>0</v>
      </c>
      <c r="AF28" s="252">
        <f t="shared" si="16"/>
        <v>0</v>
      </c>
      <c r="AG28" s="252">
        <f t="shared" si="16"/>
        <v>0</v>
      </c>
      <c r="AH28" s="253"/>
      <c r="AI28" s="254"/>
    </row>
    <row r="29" spans="1:35" s="18" customFormat="1" ht="61.5" customHeight="1" x14ac:dyDescent="0.25">
      <c r="A29" s="366"/>
      <c r="B29" s="410"/>
      <c r="C29" s="73" t="s">
        <v>21</v>
      </c>
      <c r="D29" s="74">
        <f>SUM(J29,L29,N29,P29,R29,T29,V29,X29,Z29,AB29,AD29,AF29)</f>
        <v>150.39929999999998</v>
      </c>
      <c r="E29" s="74">
        <f>J29+L29+N29+P29+R29+T29+V29+X29+Z29+AB29+AD29+AF29</f>
        <v>150.39929999999998</v>
      </c>
      <c r="F29" s="74">
        <f>G29</f>
        <v>128.97</v>
      </c>
      <c r="G29" s="74">
        <f>SUM(K29,M29,O29,Q29,S29,U29,W29,Y29,AA29,AC29,AE29,AG29)</f>
        <v>128.97</v>
      </c>
      <c r="H29" s="74">
        <f t="shared" si="14"/>
        <v>85.751728897674397</v>
      </c>
      <c r="I29" s="74">
        <f t="shared" si="15"/>
        <v>85.751728897674397</v>
      </c>
      <c r="J29" s="67">
        <v>21.484999999999999</v>
      </c>
      <c r="K29" s="211">
        <v>0</v>
      </c>
      <c r="L29" s="67">
        <v>128.91</v>
      </c>
      <c r="M29" s="282">
        <v>128.97</v>
      </c>
      <c r="N29" s="67">
        <v>0</v>
      </c>
      <c r="O29" s="310">
        <v>0</v>
      </c>
      <c r="P29" s="67">
        <v>4.3E-3</v>
      </c>
      <c r="Q29" s="67">
        <v>0</v>
      </c>
      <c r="R29" s="67">
        <v>0</v>
      </c>
      <c r="S29" s="67">
        <v>0</v>
      </c>
      <c r="T29" s="67">
        <v>0</v>
      </c>
      <c r="U29" s="67">
        <v>0</v>
      </c>
      <c r="V29" s="67">
        <v>0</v>
      </c>
      <c r="W29" s="67">
        <v>0</v>
      </c>
      <c r="X29" s="67">
        <v>0</v>
      </c>
      <c r="Y29" s="67">
        <v>0</v>
      </c>
      <c r="Z29" s="67">
        <v>0</v>
      </c>
      <c r="AA29" s="67">
        <v>0</v>
      </c>
      <c r="AB29" s="67">
        <v>0</v>
      </c>
      <c r="AC29" s="67">
        <v>0</v>
      </c>
      <c r="AD29" s="67">
        <v>0</v>
      </c>
      <c r="AE29" s="67">
        <v>0</v>
      </c>
      <c r="AF29" s="67">
        <v>0</v>
      </c>
      <c r="AG29" s="67">
        <v>0</v>
      </c>
      <c r="AH29" s="75"/>
      <c r="AI29" s="19"/>
    </row>
    <row r="30" spans="1:35" s="241" customFormat="1" ht="67.5" customHeight="1" x14ac:dyDescent="0.25">
      <c r="A30" s="364" t="s">
        <v>156</v>
      </c>
      <c r="B30" s="409" t="s">
        <v>233</v>
      </c>
      <c r="C30" s="236" t="s">
        <v>20</v>
      </c>
      <c r="D30" s="237">
        <f>D31</f>
        <v>83.6</v>
      </c>
      <c r="E30" s="237">
        <f t="shared" si="10"/>
        <v>0</v>
      </c>
      <c r="F30" s="237">
        <f t="shared" si="10"/>
        <v>11.52</v>
      </c>
      <c r="G30" s="237">
        <f t="shared" si="10"/>
        <v>11.52</v>
      </c>
      <c r="H30" s="237">
        <f t="shared" si="14"/>
        <v>13.779904306220095</v>
      </c>
      <c r="I30" s="237">
        <f t="shared" si="15"/>
        <v>0</v>
      </c>
      <c r="J30" s="238">
        <f t="shared" ref="J30:AG30" si="17">J31</f>
        <v>0</v>
      </c>
      <c r="K30" s="238">
        <f t="shared" si="17"/>
        <v>0</v>
      </c>
      <c r="L30" s="238">
        <f t="shared" si="17"/>
        <v>5.76</v>
      </c>
      <c r="M30" s="280">
        <f t="shared" si="17"/>
        <v>5.76</v>
      </c>
      <c r="N30" s="238">
        <f t="shared" si="17"/>
        <v>11.52</v>
      </c>
      <c r="O30" s="258">
        <f t="shared" si="17"/>
        <v>5.76</v>
      </c>
      <c r="P30" s="238">
        <f t="shared" si="17"/>
        <v>5.76</v>
      </c>
      <c r="Q30" s="238">
        <f t="shared" si="17"/>
        <v>0</v>
      </c>
      <c r="R30" s="238">
        <f t="shared" si="17"/>
        <v>5.76</v>
      </c>
      <c r="S30" s="238">
        <f t="shared" si="17"/>
        <v>0</v>
      </c>
      <c r="T30" s="238">
        <f t="shared" si="17"/>
        <v>5.76</v>
      </c>
      <c r="U30" s="238">
        <f t="shared" si="17"/>
        <v>0</v>
      </c>
      <c r="V30" s="238">
        <f t="shared" si="17"/>
        <v>11.52</v>
      </c>
      <c r="W30" s="238">
        <f t="shared" si="17"/>
        <v>0</v>
      </c>
      <c r="X30" s="238">
        <f t="shared" si="17"/>
        <v>5.76</v>
      </c>
      <c r="Y30" s="238">
        <f t="shared" si="17"/>
        <v>0</v>
      </c>
      <c r="Z30" s="238">
        <f t="shared" si="17"/>
        <v>5.76</v>
      </c>
      <c r="AA30" s="238">
        <f t="shared" si="17"/>
        <v>0</v>
      </c>
      <c r="AB30" s="238">
        <f t="shared" si="17"/>
        <v>11.52</v>
      </c>
      <c r="AC30" s="238">
        <f t="shared" si="17"/>
        <v>0</v>
      </c>
      <c r="AD30" s="238">
        <f t="shared" si="17"/>
        <v>5.76</v>
      </c>
      <c r="AE30" s="238">
        <f t="shared" si="17"/>
        <v>0</v>
      </c>
      <c r="AF30" s="238">
        <f t="shared" si="17"/>
        <v>8.7200000000000006</v>
      </c>
      <c r="AG30" s="238">
        <f t="shared" si="17"/>
        <v>0</v>
      </c>
      <c r="AH30" s="239"/>
      <c r="AI30" s="240"/>
    </row>
    <row r="31" spans="1:35" s="18" customFormat="1" ht="43.5" customHeight="1" x14ac:dyDescent="0.25">
      <c r="A31" s="366"/>
      <c r="B31" s="410"/>
      <c r="C31" s="73" t="s">
        <v>21</v>
      </c>
      <c r="D31" s="74">
        <f>SUM(J31,L31,N31,P31,R31,T31,V31,X31,Z31,AB31,AD31,AF31)</f>
        <v>83.6</v>
      </c>
      <c r="E31" s="74">
        <f>J31</f>
        <v>0</v>
      </c>
      <c r="F31" s="74">
        <f>G31</f>
        <v>11.52</v>
      </c>
      <c r="G31" s="74">
        <f>SUM(K31,M31,O31,Q31,S31,U31,W31,Y31,AA31,AC31,AE31,AG31)</f>
        <v>11.52</v>
      </c>
      <c r="H31" s="74">
        <f t="shared" si="14"/>
        <v>13.779904306220095</v>
      </c>
      <c r="I31" s="74">
        <f t="shared" si="15"/>
        <v>0</v>
      </c>
      <c r="J31" s="67">
        <v>0</v>
      </c>
      <c r="K31" s="211">
        <v>0</v>
      </c>
      <c r="L31" s="67">
        <v>5.76</v>
      </c>
      <c r="M31" s="282">
        <v>5.76</v>
      </c>
      <c r="N31" s="67">
        <v>11.52</v>
      </c>
      <c r="O31" s="310">
        <v>5.76</v>
      </c>
      <c r="P31" s="67">
        <v>5.76</v>
      </c>
      <c r="Q31" s="67">
        <v>0</v>
      </c>
      <c r="R31" s="67">
        <v>5.76</v>
      </c>
      <c r="S31" s="67">
        <v>0</v>
      </c>
      <c r="T31" s="67">
        <v>5.76</v>
      </c>
      <c r="U31" s="67">
        <v>0</v>
      </c>
      <c r="V31" s="67">
        <v>11.52</v>
      </c>
      <c r="W31" s="67">
        <v>0</v>
      </c>
      <c r="X31" s="67">
        <v>5.76</v>
      </c>
      <c r="Y31" s="67">
        <v>0</v>
      </c>
      <c r="Z31" s="67">
        <v>5.76</v>
      </c>
      <c r="AA31" s="67">
        <v>0</v>
      </c>
      <c r="AB31" s="67">
        <v>11.52</v>
      </c>
      <c r="AC31" s="67">
        <v>0</v>
      </c>
      <c r="AD31" s="67">
        <v>5.76</v>
      </c>
      <c r="AE31" s="67">
        <v>0</v>
      </c>
      <c r="AF31" s="67">
        <v>8.7200000000000006</v>
      </c>
      <c r="AG31" s="67">
        <v>0</v>
      </c>
      <c r="AH31" s="75"/>
      <c r="AI31" s="19"/>
    </row>
    <row r="32" spans="1:35" s="267" customFormat="1" ht="63" customHeight="1" x14ac:dyDescent="0.25">
      <c r="A32" s="364" t="s">
        <v>234</v>
      </c>
      <c r="B32" s="409" t="s">
        <v>235</v>
      </c>
      <c r="C32" s="242" t="s">
        <v>20</v>
      </c>
      <c r="D32" s="243">
        <f>D33</f>
        <v>649.4</v>
      </c>
      <c r="E32" s="243">
        <f t="shared" si="10"/>
        <v>0</v>
      </c>
      <c r="F32" s="243">
        <f t="shared" si="10"/>
        <v>260.87400000000002</v>
      </c>
      <c r="G32" s="243">
        <f t="shared" si="10"/>
        <v>260.87400000000002</v>
      </c>
      <c r="H32" s="243">
        <f t="shared" si="14"/>
        <v>40.171542962734833</v>
      </c>
      <c r="I32" s="243">
        <f t="shared" si="15"/>
        <v>0</v>
      </c>
      <c r="J32" s="244">
        <f t="shared" ref="J32:AG32" si="18">J33</f>
        <v>0</v>
      </c>
      <c r="K32" s="244">
        <f t="shared" si="18"/>
        <v>0</v>
      </c>
      <c r="L32" s="244">
        <f t="shared" si="18"/>
        <v>267.029</v>
      </c>
      <c r="M32" s="280">
        <f t="shared" si="18"/>
        <v>245.54400000000001</v>
      </c>
      <c r="N32" s="244">
        <f t="shared" si="18"/>
        <v>15.332000000000001</v>
      </c>
      <c r="O32" s="258">
        <f t="shared" si="18"/>
        <v>15.33</v>
      </c>
      <c r="P32" s="244">
        <f t="shared" si="18"/>
        <v>0</v>
      </c>
      <c r="Q32" s="244">
        <f t="shared" si="18"/>
        <v>0</v>
      </c>
      <c r="R32" s="244">
        <f t="shared" si="18"/>
        <v>109</v>
      </c>
      <c r="S32" s="244">
        <f t="shared" si="18"/>
        <v>0</v>
      </c>
      <c r="T32" s="244">
        <f t="shared" si="18"/>
        <v>8.4079999999999995</v>
      </c>
      <c r="U32" s="244">
        <f t="shared" si="18"/>
        <v>0</v>
      </c>
      <c r="V32" s="244">
        <f t="shared" si="18"/>
        <v>0</v>
      </c>
      <c r="W32" s="244">
        <f t="shared" si="18"/>
        <v>0</v>
      </c>
      <c r="X32" s="244">
        <f t="shared" si="18"/>
        <v>3.2</v>
      </c>
      <c r="Y32" s="244">
        <f t="shared" si="18"/>
        <v>0</v>
      </c>
      <c r="Z32" s="244">
        <f t="shared" si="18"/>
        <v>8.4079999999999995</v>
      </c>
      <c r="AA32" s="244">
        <f t="shared" si="18"/>
        <v>0</v>
      </c>
      <c r="AB32" s="244">
        <f t="shared" si="18"/>
        <v>89.507999999999996</v>
      </c>
      <c r="AC32" s="244">
        <f t="shared" si="18"/>
        <v>0</v>
      </c>
      <c r="AD32" s="244">
        <f t="shared" si="18"/>
        <v>0</v>
      </c>
      <c r="AE32" s="244">
        <f t="shared" si="18"/>
        <v>0</v>
      </c>
      <c r="AF32" s="244">
        <f t="shared" si="18"/>
        <v>148.51499999999999</v>
      </c>
      <c r="AG32" s="244">
        <f t="shared" si="18"/>
        <v>0</v>
      </c>
      <c r="AH32" s="245"/>
      <c r="AI32" s="266"/>
    </row>
    <row r="33" spans="1:35" s="22" customFormat="1" ht="48" customHeight="1" x14ac:dyDescent="0.25">
      <c r="A33" s="366"/>
      <c r="B33" s="410"/>
      <c r="C33" s="73" t="s">
        <v>21</v>
      </c>
      <c r="D33" s="74">
        <f>SUM(J33,L33,N33,P33,R33,T33,V33,X33,Z33,AB33,AD33,AF33)</f>
        <v>649.4</v>
      </c>
      <c r="E33" s="74">
        <f>J33</f>
        <v>0</v>
      </c>
      <c r="F33" s="74">
        <f>G33</f>
        <v>260.87400000000002</v>
      </c>
      <c r="G33" s="74">
        <f>SUM(K33,M33,O33,Q33,S33,U33,W33,Y33,AA33,AC33,AE33,AG33)</f>
        <v>260.87400000000002</v>
      </c>
      <c r="H33" s="74">
        <f t="shared" si="14"/>
        <v>40.171542962734833</v>
      </c>
      <c r="I33" s="74">
        <f t="shared" si="15"/>
        <v>0</v>
      </c>
      <c r="J33" s="67">
        <v>0</v>
      </c>
      <c r="K33" s="211">
        <v>0</v>
      </c>
      <c r="L33" s="67">
        <v>267.029</v>
      </c>
      <c r="M33" s="282">
        <v>245.54400000000001</v>
      </c>
      <c r="N33" s="67">
        <v>15.332000000000001</v>
      </c>
      <c r="O33" s="310">
        <v>15.33</v>
      </c>
      <c r="P33" s="67">
        <v>0</v>
      </c>
      <c r="Q33" s="67">
        <v>0</v>
      </c>
      <c r="R33" s="67">
        <v>109</v>
      </c>
      <c r="S33" s="67">
        <v>0</v>
      </c>
      <c r="T33" s="67">
        <v>8.4079999999999995</v>
      </c>
      <c r="U33" s="67">
        <v>0</v>
      </c>
      <c r="V33" s="67">
        <v>0</v>
      </c>
      <c r="W33" s="67">
        <v>0</v>
      </c>
      <c r="X33" s="67">
        <v>3.2</v>
      </c>
      <c r="Y33" s="67">
        <v>0</v>
      </c>
      <c r="Z33" s="67">
        <v>8.4079999999999995</v>
      </c>
      <c r="AA33" s="67">
        <v>0</v>
      </c>
      <c r="AB33" s="67">
        <v>89.507999999999996</v>
      </c>
      <c r="AC33" s="67">
        <v>0</v>
      </c>
      <c r="AD33" s="67">
        <v>0</v>
      </c>
      <c r="AE33" s="67">
        <v>0</v>
      </c>
      <c r="AF33" s="67">
        <v>148.51499999999999</v>
      </c>
      <c r="AG33" s="67">
        <v>0</v>
      </c>
      <c r="AH33" s="75"/>
      <c r="AI33" s="20"/>
    </row>
    <row r="34" spans="1:35" s="255" customFormat="1" ht="88.5" customHeight="1" x14ac:dyDescent="0.25">
      <c r="A34" s="364" t="s">
        <v>236</v>
      </c>
      <c r="B34" s="409" t="s">
        <v>237</v>
      </c>
      <c r="C34" s="250" t="s">
        <v>20</v>
      </c>
      <c r="D34" s="251">
        <f>D35</f>
        <v>10302.698000000002</v>
      </c>
      <c r="E34" s="251">
        <f t="shared" si="10"/>
        <v>1134.617</v>
      </c>
      <c r="F34" s="251">
        <f t="shared" si="10"/>
        <v>2086.1819999999998</v>
      </c>
      <c r="G34" s="251">
        <f t="shared" si="10"/>
        <v>2086.1819999999998</v>
      </c>
      <c r="H34" s="251">
        <f t="shared" si="14"/>
        <v>20.248890145086264</v>
      </c>
      <c r="I34" s="251">
        <f t="shared" si="15"/>
        <v>183.86662635937941</v>
      </c>
      <c r="J34" s="252">
        <f t="shared" ref="J34:AG34" si="19">J35</f>
        <v>1134.617</v>
      </c>
      <c r="K34" s="252">
        <f t="shared" si="19"/>
        <v>616.49099999999999</v>
      </c>
      <c r="L34" s="252">
        <f t="shared" si="19"/>
        <v>829.61199999999997</v>
      </c>
      <c r="M34" s="280">
        <f t="shared" si="19"/>
        <v>974.96900000000005</v>
      </c>
      <c r="N34" s="252">
        <f t="shared" si="19"/>
        <v>690.95899999999995</v>
      </c>
      <c r="O34" s="258">
        <f t="shared" si="19"/>
        <v>494.72199999999998</v>
      </c>
      <c r="P34" s="252">
        <f t="shared" si="19"/>
        <v>1174.3130000000001</v>
      </c>
      <c r="Q34" s="252">
        <f t="shared" si="19"/>
        <v>0</v>
      </c>
      <c r="R34" s="252">
        <f t="shared" si="19"/>
        <v>736.98199999999997</v>
      </c>
      <c r="S34" s="252">
        <f t="shared" si="19"/>
        <v>0</v>
      </c>
      <c r="T34" s="252">
        <f t="shared" si="19"/>
        <v>629.68200000000002</v>
      </c>
      <c r="U34" s="252">
        <f t="shared" si="19"/>
        <v>0</v>
      </c>
      <c r="V34" s="252">
        <f t="shared" si="19"/>
        <v>1156.29</v>
      </c>
      <c r="W34" s="252">
        <f t="shared" si="19"/>
        <v>0</v>
      </c>
      <c r="X34" s="252">
        <f t="shared" si="19"/>
        <v>819.029</v>
      </c>
      <c r="Y34" s="252">
        <f t="shared" si="19"/>
        <v>0</v>
      </c>
      <c r="Z34" s="252">
        <f t="shared" si="19"/>
        <v>665.33199999999999</v>
      </c>
      <c r="AA34" s="252">
        <f t="shared" si="19"/>
        <v>0</v>
      </c>
      <c r="AB34" s="252">
        <f t="shared" si="19"/>
        <v>735.08299999999997</v>
      </c>
      <c r="AC34" s="252">
        <f t="shared" si="19"/>
        <v>0</v>
      </c>
      <c r="AD34" s="252">
        <f t="shared" si="19"/>
        <v>629.68200000000002</v>
      </c>
      <c r="AE34" s="252">
        <f t="shared" si="19"/>
        <v>0</v>
      </c>
      <c r="AF34" s="252">
        <f t="shared" si="19"/>
        <v>1101.117</v>
      </c>
      <c r="AG34" s="252">
        <f t="shared" si="19"/>
        <v>0</v>
      </c>
      <c r="AH34" s="253"/>
      <c r="AI34" s="254"/>
    </row>
    <row r="35" spans="1:35" s="18" customFormat="1" ht="119.25" customHeight="1" x14ac:dyDescent="0.25">
      <c r="A35" s="366"/>
      <c r="B35" s="410"/>
      <c r="C35" s="73" t="s">
        <v>22</v>
      </c>
      <c r="D35" s="74">
        <f>SUM(J35,L35,N35,P35,R35,T35,V35,X35,Z35,AB35,AD35,AF35)</f>
        <v>10302.698000000002</v>
      </c>
      <c r="E35" s="74">
        <f>J35</f>
        <v>1134.617</v>
      </c>
      <c r="F35" s="74">
        <f>G35</f>
        <v>2086.1819999999998</v>
      </c>
      <c r="G35" s="74">
        <f>SUM(K35,M35,O35,Q35,S35,U35,W35,Y35,AA35,AC35,AE35,AG35)</f>
        <v>2086.1819999999998</v>
      </c>
      <c r="H35" s="74">
        <f t="shared" si="14"/>
        <v>20.248890145086264</v>
      </c>
      <c r="I35" s="74">
        <f t="shared" si="15"/>
        <v>183.86662635937941</v>
      </c>
      <c r="J35" s="67">
        <v>1134.617</v>
      </c>
      <c r="K35" s="211">
        <v>616.49099999999999</v>
      </c>
      <c r="L35" s="67">
        <v>829.61199999999997</v>
      </c>
      <c r="M35" s="282">
        <v>974.96900000000005</v>
      </c>
      <c r="N35" s="67">
        <v>690.95899999999995</v>
      </c>
      <c r="O35" s="310">
        <v>494.72199999999998</v>
      </c>
      <c r="P35" s="67">
        <v>1174.3130000000001</v>
      </c>
      <c r="Q35" s="67">
        <v>0</v>
      </c>
      <c r="R35" s="67">
        <v>736.98199999999997</v>
      </c>
      <c r="S35" s="67">
        <v>0</v>
      </c>
      <c r="T35" s="67">
        <v>629.68200000000002</v>
      </c>
      <c r="U35" s="67">
        <v>0</v>
      </c>
      <c r="V35" s="67">
        <v>1156.29</v>
      </c>
      <c r="W35" s="67">
        <v>0</v>
      </c>
      <c r="X35" s="67">
        <v>819.029</v>
      </c>
      <c r="Y35" s="67">
        <v>0</v>
      </c>
      <c r="Z35" s="67">
        <v>665.33199999999999</v>
      </c>
      <c r="AA35" s="67">
        <v>0</v>
      </c>
      <c r="AB35" s="67">
        <v>735.08299999999997</v>
      </c>
      <c r="AC35" s="67">
        <v>0</v>
      </c>
      <c r="AD35" s="67">
        <v>629.68200000000002</v>
      </c>
      <c r="AE35" s="67">
        <v>0</v>
      </c>
      <c r="AF35" s="67">
        <v>1101.117</v>
      </c>
      <c r="AG35" s="67">
        <v>0</v>
      </c>
      <c r="AH35" s="75"/>
      <c r="AI35" s="19"/>
    </row>
    <row r="36" spans="1:35" s="22" customFormat="1" ht="18.75" customHeight="1" x14ac:dyDescent="0.25">
      <c r="A36" s="132" t="s">
        <v>157</v>
      </c>
      <c r="B36" s="426" t="s">
        <v>32</v>
      </c>
      <c r="C36" s="427"/>
      <c r="D36" s="427"/>
      <c r="E36" s="427"/>
      <c r="F36" s="427"/>
      <c r="G36" s="427"/>
      <c r="H36" s="427"/>
      <c r="I36" s="427"/>
      <c r="J36" s="427"/>
      <c r="K36" s="427"/>
      <c r="L36" s="427"/>
      <c r="M36" s="427"/>
      <c r="N36" s="427"/>
      <c r="O36" s="427"/>
      <c r="P36" s="427"/>
      <c r="Q36" s="427"/>
      <c r="R36" s="427"/>
      <c r="S36" s="427"/>
      <c r="T36" s="427"/>
      <c r="U36" s="427"/>
      <c r="V36" s="427"/>
      <c r="W36" s="427"/>
      <c r="X36" s="427"/>
      <c r="Y36" s="427"/>
      <c r="Z36" s="427"/>
      <c r="AA36" s="427"/>
      <c r="AB36" s="427"/>
      <c r="AC36" s="427"/>
      <c r="AD36" s="427"/>
      <c r="AE36" s="427"/>
      <c r="AF36" s="427"/>
      <c r="AG36" s="428"/>
      <c r="AH36" s="75"/>
    </row>
    <row r="37" spans="1:35" s="265" customFormat="1" ht="82.5" customHeight="1" x14ac:dyDescent="0.25">
      <c r="A37" s="364" t="s">
        <v>158</v>
      </c>
      <c r="B37" s="409" t="s">
        <v>238</v>
      </c>
      <c r="C37" s="246" t="s">
        <v>20</v>
      </c>
      <c r="D37" s="247">
        <f>D38</f>
        <v>6320.1999999999989</v>
      </c>
      <c r="E37" s="247">
        <f t="shared" si="10"/>
        <v>910.76800000000003</v>
      </c>
      <c r="F37" s="247">
        <f t="shared" si="10"/>
        <v>1568.0320000000002</v>
      </c>
      <c r="G37" s="247">
        <f t="shared" si="10"/>
        <v>1568.0320000000002</v>
      </c>
      <c r="H37" s="247">
        <f>IFERROR(G37/D37*100,0)</f>
        <v>24.809847789626918</v>
      </c>
      <c r="I37" s="247">
        <f>IFERROR(G37/E37*100,0)</f>
        <v>172.16590833230856</v>
      </c>
      <c r="J37" s="248">
        <f t="shared" ref="J37:AG37" si="20">J38</f>
        <v>910.76800000000003</v>
      </c>
      <c r="K37" s="248">
        <f t="shared" si="20"/>
        <v>497.447</v>
      </c>
      <c r="L37" s="248">
        <f t="shared" si="20"/>
        <v>544.96299999999997</v>
      </c>
      <c r="M37" s="280">
        <f t="shared" si="20"/>
        <v>676.79100000000005</v>
      </c>
      <c r="N37" s="248">
        <f t="shared" si="20"/>
        <v>375.82799999999997</v>
      </c>
      <c r="O37" s="258">
        <f t="shared" si="20"/>
        <v>393.79399999999998</v>
      </c>
      <c r="P37" s="248">
        <f t="shared" si="20"/>
        <v>646.00599999999997</v>
      </c>
      <c r="Q37" s="248">
        <f t="shared" si="20"/>
        <v>0</v>
      </c>
      <c r="R37" s="248">
        <f t="shared" si="20"/>
        <v>495.11399999999998</v>
      </c>
      <c r="S37" s="248">
        <f t="shared" si="20"/>
        <v>0</v>
      </c>
      <c r="T37" s="248">
        <f t="shared" si="20"/>
        <v>375.82799999999997</v>
      </c>
      <c r="U37" s="248">
        <f t="shared" si="20"/>
        <v>0</v>
      </c>
      <c r="V37" s="248">
        <f t="shared" si="20"/>
        <v>646.00599999999997</v>
      </c>
      <c r="W37" s="248">
        <f t="shared" si="20"/>
        <v>0</v>
      </c>
      <c r="X37" s="248">
        <f t="shared" si="20"/>
        <v>603.20299999999997</v>
      </c>
      <c r="Y37" s="248">
        <f t="shared" si="20"/>
        <v>0</v>
      </c>
      <c r="Z37" s="248">
        <f t="shared" si="20"/>
        <v>408.471</v>
      </c>
      <c r="AA37" s="248">
        <f t="shared" si="20"/>
        <v>0</v>
      </c>
      <c r="AB37" s="248">
        <f t="shared" si="20"/>
        <v>429.82799999999997</v>
      </c>
      <c r="AC37" s="248">
        <f t="shared" si="20"/>
        <v>0</v>
      </c>
      <c r="AD37" s="248">
        <f t="shared" si="20"/>
        <v>429.82799999999997</v>
      </c>
      <c r="AE37" s="248">
        <f t="shared" si="20"/>
        <v>0</v>
      </c>
      <c r="AF37" s="248">
        <f t="shared" si="20"/>
        <v>454.35700000000003</v>
      </c>
      <c r="AG37" s="248">
        <f t="shared" si="20"/>
        <v>0</v>
      </c>
      <c r="AH37" s="249"/>
      <c r="AI37" s="264"/>
    </row>
    <row r="38" spans="1:35" s="22" customFormat="1" ht="63.75" customHeight="1" x14ac:dyDescent="0.25">
      <c r="A38" s="366"/>
      <c r="B38" s="410"/>
      <c r="C38" s="73" t="s">
        <v>21</v>
      </c>
      <c r="D38" s="74">
        <f>SUM(J38,L38,N38,P38,R38,T38,V38,X38,Z38,AB38,AD38,AF38)</f>
        <v>6320.1999999999989</v>
      </c>
      <c r="E38" s="74">
        <f>J38</f>
        <v>910.76800000000003</v>
      </c>
      <c r="F38" s="74">
        <f>G38</f>
        <v>1568.0320000000002</v>
      </c>
      <c r="G38" s="74">
        <f>SUM(K38,M38,O38,Q38,S38,U38,W38,Y38,AA38,AC38,AE38,AG38)</f>
        <v>1568.0320000000002</v>
      </c>
      <c r="H38" s="74">
        <f>IFERROR(G38/D38*100,0)</f>
        <v>24.809847789626918</v>
      </c>
      <c r="I38" s="74">
        <f>IFERROR(G38/E38*100,0)</f>
        <v>172.16590833230856</v>
      </c>
      <c r="J38" s="67">
        <v>910.76800000000003</v>
      </c>
      <c r="K38" s="211">
        <v>497.447</v>
      </c>
      <c r="L38" s="67">
        <v>544.96299999999997</v>
      </c>
      <c r="M38" s="282">
        <v>676.79100000000005</v>
      </c>
      <c r="N38" s="67">
        <v>375.82799999999997</v>
      </c>
      <c r="O38" s="310">
        <v>393.79399999999998</v>
      </c>
      <c r="P38" s="67">
        <v>646.00599999999997</v>
      </c>
      <c r="Q38" s="67">
        <v>0</v>
      </c>
      <c r="R38" s="67">
        <v>495.11399999999998</v>
      </c>
      <c r="S38" s="67">
        <v>0</v>
      </c>
      <c r="T38" s="67">
        <v>375.82799999999997</v>
      </c>
      <c r="U38" s="67">
        <v>0</v>
      </c>
      <c r="V38" s="67">
        <v>646.00599999999997</v>
      </c>
      <c r="W38" s="67">
        <v>0</v>
      </c>
      <c r="X38" s="67">
        <v>603.20299999999997</v>
      </c>
      <c r="Y38" s="67">
        <v>0</v>
      </c>
      <c r="Z38" s="67">
        <v>408.471</v>
      </c>
      <c r="AA38" s="67">
        <v>0</v>
      </c>
      <c r="AB38" s="67">
        <v>429.82799999999997</v>
      </c>
      <c r="AC38" s="67">
        <v>0</v>
      </c>
      <c r="AD38" s="67">
        <v>429.82799999999997</v>
      </c>
      <c r="AE38" s="67">
        <v>0</v>
      </c>
      <c r="AF38" s="67">
        <v>454.35700000000003</v>
      </c>
      <c r="AG38" s="67">
        <v>0</v>
      </c>
      <c r="AH38" s="75"/>
      <c r="AI38" s="20"/>
    </row>
  </sheetData>
  <customSheetViews>
    <customSheetView guid="{2940A182-D1A7-43C5-8D6E-965BED4371B0}" scale="80" state="hidden">
      <pane xSplit="6" ySplit="7" topLeftCell="G8" activePane="bottomRight" state="frozen"/>
      <selection pane="bottomRight" activeCell="B16" sqref="B16:B17"/>
      <pageMargins left="0.7" right="0.7" top="0.75" bottom="0.75" header="0.3" footer="0.3"/>
      <pageSetup paperSize="9" orientation="portrait" r:id="rId1"/>
    </customSheetView>
    <customSheetView guid="{BBF6B43F-E0FC-43DF-B91C-674F6AB4B556}" scale="80">
      <pane xSplit="6" ySplit="7" topLeftCell="G8" activePane="bottomRight" state="frozen"/>
      <selection pane="bottomRight" activeCell="I9" sqref="I9"/>
      <pageMargins left="0.7" right="0.7" top="0.75" bottom="0.75" header="0.3" footer="0.3"/>
      <pageSetup paperSize="9" orientation="portrait" r:id="rId2"/>
    </customSheetView>
    <customSheetView guid="{30B635D9-57DB-47D5-8A0F-4B30DD769960}" scale="80">
      <pane xSplit="6" ySplit="7" topLeftCell="G8" activePane="bottomRight" state="frozen"/>
      <selection pane="bottomRight" activeCell="I9" sqref="I9"/>
      <pageMargins left="0.7" right="0.7" top="0.75" bottom="0.75" header="0.3" footer="0.3"/>
      <pageSetup paperSize="9" orientation="portrait" r:id="rId3"/>
    </customSheetView>
    <customSheetView guid="{DAEDC989-02E7-4319-8354-59410ACF3F1F}" scale="80">
      <pane xSplit="6" ySplit="7" topLeftCell="G8" activePane="bottomRight" state="frozen"/>
      <selection pane="bottomRight" activeCell="B16" sqref="B16:B17"/>
      <pageMargins left="0.7" right="0.7" top="0.75" bottom="0.75" header="0.3" footer="0.3"/>
      <pageSetup paperSize="9" orientation="portrait" r:id="rId4"/>
    </customSheetView>
    <customSheetView guid="{21E1D423-7B38-4272-8354-09B4DB62C9EB}" scale="80">
      <pane xSplit="6" ySplit="7" topLeftCell="G8" activePane="bottomRight" state="frozen"/>
      <selection pane="bottomRight" activeCell="B16" sqref="B16:B17"/>
      <pageMargins left="0.7" right="0.7" top="0.75" bottom="0.75" header="0.3" footer="0.3"/>
      <pageSetup paperSize="9" orientation="portrait" r:id="rId5"/>
    </customSheetView>
    <customSheetView guid="{EA46B61D-849C-4795-A4FF-F8F1740022EB}" scale="80">
      <pane xSplit="6" ySplit="7" topLeftCell="G33" activePane="bottomRight" state="frozen"/>
      <selection pane="bottomRight" activeCell="F35" sqref="F35"/>
      <pageMargins left="0.7" right="0.7" top="0.75" bottom="0.75" header="0.3" footer="0.3"/>
      <pageSetup paperSize="9" orientation="portrait" r:id="rId6"/>
    </customSheetView>
    <customSheetView guid="{A0E2FBF6-E560-4343-8BE6-217DC798135B}" scale="80">
      <pane xSplit="6" ySplit="7" topLeftCell="G8" activePane="bottomRight" state="frozen"/>
      <selection pane="bottomRight" activeCell="K40" sqref="K40"/>
      <pageMargins left="0.7" right="0.7" top="0.75" bottom="0.75" header="0.3" footer="0.3"/>
      <pageSetup paperSize="9" orientation="portrait" r:id="rId7"/>
    </customSheetView>
    <customSheetView guid="{20A05A62-CBE8-4538-BBC3-2AD9D3B8FAC0}" scale="80">
      <pane xSplit="6" ySplit="7" topLeftCell="G8" activePane="bottomRight" state="frozen"/>
      <selection pane="bottomRight" activeCell="B16" sqref="B16:B17"/>
      <pageMargins left="0.7" right="0.7" top="0.75" bottom="0.75" header="0.3" footer="0.3"/>
      <pageSetup paperSize="9" orientation="portrait" r:id="rId8"/>
    </customSheetView>
    <customSheetView guid="{A4AF2100-C59D-4F60-9EAB-56D9103463F7}" scale="80">
      <pane xSplit="6" ySplit="7" topLeftCell="G33" activePane="bottomRight" state="frozen"/>
      <selection pane="bottomRight" activeCell="K40" sqref="K40"/>
      <pageMargins left="0.7" right="0.7" top="0.75" bottom="0.75" header="0.3" footer="0.3"/>
      <pageSetup paperSize="9" orientation="portrait" r:id="rId9"/>
    </customSheetView>
    <customSheetView guid="{AB9978E4-895D-4050-8F07-2484E22632D1}" scale="80">
      <pane xSplit="6" ySplit="7" topLeftCell="G8" activePane="bottomRight" state="frozen"/>
      <selection pane="bottomRight" activeCell="I9" sqref="I9"/>
      <pageMargins left="0.7" right="0.7" top="0.75" bottom="0.75" header="0.3" footer="0.3"/>
      <pageSetup paperSize="9" orientation="portrait" r:id="rId10"/>
    </customSheetView>
    <customSheetView guid="{519948E4-0B24-465F-9D9E-44BE50D1D647}" scale="70">
      <pane xSplit="6" ySplit="7" topLeftCell="G8" activePane="bottomRight" state="frozen"/>
      <selection pane="bottomRight" activeCell="D14" sqref="D14"/>
      <pageMargins left="0.7" right="0.7" top="0.75" bottom="0.75" header="0.3" footer="0.3"/>
      <pageSetup paperSize="9" orientation="portrait" r:id="rId11"/>
    </customSheetView>
    <customSheetView guid="{C7DC638A-7F60-46C9-A1FB-9ADEAE87F332}" scale="80">
      <pane xSplit="6" ySplit="7" topLeftCell="G8" activePane="bottomRight" state="frozen"/>
      <selection pane="bottomRight" activeCell="B16" sqref="B16:B17"/>
      <pageMargins left="0.7" right="0.7" top="0.75" bottom="0.75" header="0.3" footer="0.3"/>
      <pageSetup paperSize="9" orientation="portrait" r:id="rId12"/>
    </customSheetView>
    <customSheetView guid="{2A5A11D4-90C6-4A3E-8165-7D7BD634B22F}" scale="80">
      <pane xSplit="6" ySplit="7" topLeftCell="G8" activePane="bottomRight" state="frozen"/>
      <selection pane="bottomRight" activeCell="B16" sqref="B16:B17"/>
      <pageMargins left="0.7" right="0.7" top="0.75" bottom="0.75" header="0.3" footer="0.3"/>
      <pageSetup paperSize="9" orientation="portrait" r:id="rId13"/>
    </customSheetView>
    <customSheetView guid="{562453CE-35F5-40A3-AD14-6399D1197C99}" scale="80">
      <pane xSplit="6" ySplit="7" topLeftCell="G8" activePane="bottomRight" state="frozen"/>
      <selection pane="bottomRight" activeCell="B16" sqref="B16:B17"/>
      <pageMargins left="0.7" right="0.7" top="0.75" bottom="0.75" header="0.3" footer="0.3"/>
      <pageSetup paperSize="9" orientation="portrait" r:id="rId14"/>
    </customSheetView>
    <customSheetView guid="{B6B60ED6-A6CC-4DA7-A8CA-5E6DB52D5A87}" scale="80">
      <pane xSplit="6" ySplit="7" topLeftCell="G8" activePane="bottomRight" state="frozen"/>
      <selection pane="bottomRight" activeCell="I9" sqref="I9"/>
      <pageMargins left="0.7" right="0.7" top="0.75" bottom="0.75" header="0.3" footer="0.3"/>
      <pageSetup paperSize="9" orientation="portrait" r:id="rId15"/>
    </customSheetView>
    <customSheetView guid="{133BB3F8-8DD4-4AEF-8CD6-A5FB14681329}" scale="80">
      <pane xSplit="6" ySplit="7" topLeftCell="G8" activePane="bottomRight" state="frozen"/>
      <selection pane="bottomRight" activeCell="K40" sqref="K40"/>
      <pageMargins left="0.7" right="0.7" top="0.75" bottom="0.75" header="0.3" footer="0.3"/>
      <pageSetup paperSize="9" orientation="portrait" r:id="rId16"/>
    </customSheetView>
    <customSheetView guid="{5DF2C78B-5EE4-439D-8D72-8D3A913B65F9}" scale="80">
      <pane xSplit="6" ySplit="7" topLeftCell="G8" activePane="bottomRight" state="frozen"/>
      <selection pane="bottomRight" activeCell="B16" sqref="B16:B17"/>
      <pageMargins left="0.7" right="0.7" top="0.75" bottom="0.75" header="0.3" footer="0.3"/>
      <pageSetup paperSize="9" orientation="portrait" r:id="rId17"/>
    </customSheetView>
    <customSheetView guid="{60A1F930-4BEC-460A-8E14-01E47F6DD055}" scale="80">
      <pane xSplit="6" ySplit="7" topLeftCell="G8" activePane="bottomRight" state="frozen"/>
      <selection pane="bottomRight" activeCell="B16" sqref="B16:B17"/>
      <pageMargins left="0.7" right="0.7" top="0.75" bottom="0.75" header="0.3" footer="0.3"/>
      <pageSetup paperSize="9" orientation="portrait" r:id="rId18"/>
    </customSheetView>
    <customSheetView guid="{7C5A2A36-3D69-43D9-9018-A52C27EC78F9}" scale="80">
      <pane xSplit="6" ySplit="7" topLeftCell="G8" activePane="bottomRight" state="frozen"/>
      <selection pane="bottomRight" activeCell="B16" sqref="B16:B17"/>
      <pageMargins left="0.7" right="0.7" top="0.75" bottom="0.75" header="0.3" footer="0.3"/>
      <pageSetup paperSize="9" orientation="portrait" r:id="rId19"/>
    </customSheetView>
    <customSheetView guid="{C282AA4E-1BB5-4296-9AC6-844C0F88E5FC}" scale="80">
      <pane xSplit="6" ySplit="7" topLeftCell="G8" activePane="bottomRight" state="frozen"/>
      <selection pane="bottomRight" activeCell="B16" sqref="B16:B17"/>
      <pageMargins left="0.7" right="0.7" top="0.75" bottom="0.75" header="0.3" footer="0.3"/>
      <pageSetup paperSize="9" orientation="portrait" r:id="rId20"/>
    </customSheetView>
    <customSheetView guid="{996EC2F0-F6EC-4E63-A83E-34865157BD8D}" scale="80">
      <pane xSplit="6" ySplit="7" topLeftCell="G33" activePane="bottomRight" state="frozen"/>
      <selection pane="bottomRight" activeCell="K40" sqref="K40"/>
      <pageMargins left="0.7" right="0.7" top="0.75" bottom="0.75" header="0.3" footer="0.3"/>
      <pageSetup paperSize="9" orientation="portrait" r:id="rId21"/>
    </customSheetView>
    <customSheetView guid="{AFADB96A-0516-43C1-9F1B-0604F3CAC04A}" scale="80">
      <pane xSplit="6" ySplit="7" topLeftCell="G8" activePane="bottomRight" state="frozen"/>
      <selection pane="bottomRight" activeCell="B16" sqref="B16:B17"/>
      <pageMargins left="0.7" right="0.7" top="0.75" bottom="0.75" header="0.3" footer="0.3"/>
      <pageSetup paperSize="9" orientation="portrait" r:id="rId22"/>
    </customSheetView>
  </customSheetViews>
  <mergeCells count="50">
    <mergeCell ref="R4:S5"/>
    <mergeCell ref="T4:U5"/>
    <mergeCell ref="C2:S2"/>
    <mergeCell ref="C3:S3"/>
    <mergeCell ref="A4:A6"/>
    <mergeCell ref="B4:B6"/>
    <mergeCell ref="C4:C6"/>
    <mergeCell ref="D4:D5"/>
    <mergeCell ref="E4:E5"/>
    <mergeCell ref="F4:F5"/>
    <mergeCell ref="G4:G5"/>
    <mergeCell ref="H4:I5"/>
    <mergeCell ref="AH4:AH6"/>
    <mergeCell ref="A8:A11"/>
    <mergeCell ref="B8:B11"/>
    <mergeCell ref="B12:AG12"/>
    <mergeCell ref="A13:A15"/>
    <mergeCell ref="B13:B15"/>
    <mergeCell ref="V4:W5"/>
    <mergeCell ref="X4:Y5"/>
    <mergeCell ref="Z4:AA5"/>
    <mergeCell ref="AB4:AC5"/>
    <mergeCell ref="AD4:AE5"/>
    <mergeCell ref="AF4:AG5"/>
    <mergeCell ref="J4:K5"/>
    <mergeCell ref="L4:M5"/>
    <mergeCell ref="N4:O5"/>
    <mergeCell ref="P4:Q5"/>
    <mergeCell ref="A28:A29"/>
    <mergeCell ref="B28:B29"/>
    <mergeCell ref="A16:A17"/>
    <mergeCell ref="B16:B17"/>
    <mergeCell ref="A18:A20"/>
    <mergeCell ref="B18:B20"/>
    <mergeCell ref="A21:A22"/>
    <mergeCell ref="B21:B22"/>
    <mergeCell ref="A23:A24"/>
    <mergeCell ref="B23:B24"/>
    <mergeCell ref="A25:A26"/>
    <mergeCell ref="B25:B26"/>
    <mergeCell ref="B27:AG27"/>
    <mergeCell ref="B36:AG36"/>
    <mergeCell ref="A37:A38"/>
    <mergeCell ref="B37:B38"/>
    <mergeCell ref="A30:A31"/>
    <mergeCell ref="B30:B31"/>
    <mergeCell ref="A32:A33"/>
    <mergeCell ref="B32:B33"/>
    <mergeCell ref="A34:A35"/>
    <mergeCell ref="B34:B35"/>
  </mergeCells>
  <pageMargins left="0.7" right="0.7" top="0.75" bottom="0.75" header="0.3" footer="0.3"/>
  <pageSetup paperSize="9" orientation="portrait" r:id="rId2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28"/>
  <sheetViews>
    <sheetView zoomScale="80" zoomScaleNormal="80" workbookViewId="0">
      <pane xSplit="6" ySplit="7" topLeftCell="G8" activePane="bottomRight" state="frozen"/>
      <selection pane="topRight" activeCell="G1" sqref="G1"/>
      <selection pane="bottomLeft" activeCell="A8" sqref="A8"/>
      <selection pane="bottomRight" activeCell="D12" sqref="D12"/>
    </sheetView>
  </sheetViews>
  <sheetFormatPr defaultColWidth="9.140625" defaultRowHeight="15" x14ac:dyDescent="0.25"/>
  <cols>
    <col min="1" max="1" width="6.5703125" style="8" customWidth="1"/>
    <col min="2" max="2" width="46.28515625" style="8" customWidth="1"/>
    <col min="3" max="3" width="18.5703125" style="9" customWidth="1"/>
    <col min="4" max="4" width="18" style="8" customWidth="1"/>
    <col min="5" max="5" width="14.7109375" style="8" customWidth="1"/>
    <col min="6" max="6" width="17.140625" style="8" customWidth="1"/>
    <col min="7" max="7" width="17.85546875" style="8" customWidth="1"/>
    <col min="8" max="8" width="12.140625" style="8" customWidth="1"/>
    <col min="9" max="9" width="10.85546875" style="8" customWidth="1"/>
    <col min="10" max="10" width="14.28515625" style="8" customWidth="1"/>
    <col min="11" max="11" width="13.5703125" style="8" customWidth="1"/>
    <col min="12" max="12" width="13.85546875" style="8" customWidth="1"/>
    <col min="13" max="13" width="13" style="8" customWidth="1"/>
    <col min="14" max="14" width="13.42578125" style="8" customWidth="1"/>
    <col min="15" max="15" width="11.5703125" style="8" customWidth="1"/>
    <col min="16" max="16" width="13.4257812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3.5703125" style="8" customWidth="1"/>
    <col min="27" max="27" width="11.5703125" style="8" customWidth="1"/>
    <col min="28" max="28" width="13" style="8" customWidth="1"/>
    <col min="29" max="29" width="11.5703125" style="8" customWidth="1"/>
    <col min="30" max="30" width="13.42578125" style="8" customWidth="1"/>
    <col min="31" max="33" width="11.5703125" style="8" customWidth="1"/>
    <col min="34" max="34" width="38.5703125" style="8" customWidth="1"/>
    <col min="35" max="16384" width="9.140625" style="8"/>
  </cols>
  <sheetData>
    <row r="1" spans="1:35" ht="23.25" customHeight="1" x14ac:dyDescent="0.25">
      <c r="C1" s="1"/>
      <c r="D1" s="2"/>
      <c r="E1" s="2"/>
      <c r="F1" s="2"/>
      <c r="G1" s="2"/>
      <c r="H1" s="2"/>
      <c r="I1" s="2"/>
      <c r="J1" s="3"/>
      <c r="K1" s="3"/>
      <c r="L1" s="3"/>
      <c r="M1" s="3"/>
      <c r="N1" s="3"/>
      <c r="O1" s="3"/>
      <c r="P1" s="3"/>
      <c r="Q1" s="3"/>
      <c r="R1" s="3"/>
      <c r="S1" s="3"/>
      <c r="T1" s="3"/>
      <c r="U1" s="3"/>
      <c r="V1" s="5"/>
      <c r="W1" s="5"/>
      <c r="X1" s="5"/>
      <c r="Y1" s="5"/>
      <c r="Z1" s="5"/>
      <c r="AA1" s="5"/>
      <c r="AB1" s="5"/>
      <c r="AC1" s="5"/>
      <c r="AD1" s="6"/>
      <c r="AE1" s="6"/>
      <c r="AF1" s="6"/>
      <c r="AG1" s="3"/>
      <c r="AH1" s="7"/>
    </row>
    <row r="2" spans="1:35" ht="15.75" x14ac:dyDescent="0.25">
      <c r="A2" s="92"/>
      <c r="B2" s="92"/>
      <c r="C2" s="346" t="s">
        <v>24</v>
      </c>
      <c r="D2" s="346"/>
      <c r="E2" s="346"/>
      <c r="F2" s="346"/>
      <c r="G2" s="346"/>
      <c r="H2" s="346"/>
      <c r="I2" s="346"/>
      <c r="J2" s="346"/>
      <c r="K2" s="346"/>
      <c r="L2" s="346"/>
      <c r="M2" s="346"/>
      <c r="N2" s="346"/>
      <c r="O2" s="346"/>
      <c r="P2" s="346"/>
      <c r="Q2" s="346"/>
      <c r="R2" s="346"/>
      <c r="S2" s="346"/>
      <c r="T2" s="93"/>
      <c r="U2" s="93"/>
      <c r="V2" s="93"/>
      <c r="W2" s="93"/>
      <c r="X2" s="93"/>
      <c r="Y2" s="93"/>
      <c r="Z2" s="93"/>
      <c r="AA2" s="93"/>
      <c r="AB2" s="93"/>
      <c r="AC2" s="93"/>
      <c r="AD2" s="93"/>
      <c r="AE2" s="93"/>
      <c r="AF2" s="93"/>
      <c r="AG2" s="93"/>
      <c r="AH2" s="93"/>
    </row>
    <row r="3" spans="1:35" ht="36.75" customHeight="1" x14ac:dyDescent="0.25">
      <c r="A3" s="92"/>
      <c r="B3" s="92"/>
      <c r="C3" s="347" t="s">
        <v>182</v>
      </c>
      <c r="D3" s="347"/>
      <c r="E3" s="347"/>
      <c r="F3" s="347"/>
      <c r="G3" s="347"/>
      <c r="H3" s="347"/>
      <c r="I3" s="347"/>
      <c r="J3" s="347"/>
      <c r="K3" s="347"/>
      <c r="L3" s="347"/>
      <c r="M3" s="347"/>
      <c r="N3" s="347"/>
      <c r="O3" s="347"/>
      <c r="P3" s="347"/>
      <c r="Q3" s="347"/>
      <c r="R3" s="347"/>
      <c r="S3" s="347"/>
      <c r="T3" s="94"/>
      <c r="U3" s="94"/>
      <c r="V3" s="94"/>
      <c r="W3" s="94"/>
      <c r="X3" s="94"/>
      <c r="Y3" s="94"/>
      <c r="Z3" s="94"/>
      <c r="AA3" s="94"/>
      <c r="AB3" s="94"/>
      <c r="AC3" s="94"/>
      <c r="AD3" s="95"/>
      <c r="AE3" s="95"/>
      <c r="AF3" s="95"/>
      <c r="AG3" s="37" t="s">
        <v>0</v>
      </c>
      <c r="AH3" s="95"/>
    </row>
    <row r="4" spans="1:35" s="10" customFormat="1" ht="15" customHeight="1" x14ac:dyDescent="0.25">
      <c r="A4" s="348" t="s">
        <v>26</v>
      </c>
      <c r="B4" s="351" t="s">
        <v>29</v>
      </c>
      <c r="C4" s="351" t="s">
        <v>30</v>
      </c>
      <c r="D4" s="359"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10" customFormat="1" ht="39" customHeight="1" x14ac:dyDescent="0.25">
      <c r="A5" s="349"/>
      <c r="B5" s="352"/>
      <c r="C5" s="352"/>
      <c r="D5" s="360"/>
      <c r="E5" s="360"/>
      <c r="F5" s="360"/>
      <c r="G5" s="360"/>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5" s="10" customFormat="1" ht="64.5" customHeight="1" x14ac:dyDescent="0.25">
      <c r="A6" s="350"/>
      <c r="B6" s="353"/>
      <c r="C6" s="353"/>
      <c r="D6" s="38">
        <v>2025</v>
      </c>
      <c r="E6" s="39">
        <v>45689</v>
      </c>
      <c r="F6" s="39">
        <v>45689</v>
      </c>
      <c r="G6" s="39">
        <v>45689</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10" customFormat="1" ht="15.75" x14ac:dyDescent="0.25">
      <c r="A7" s="56">
        <v>1</v>
      </c>
      <c r="B7" s="56">
        <v>2</v>
      </c>
      <c r="C7" s="56">
        <v>3</v>
      </c>
      <c r="D7" s="56">
        <v>4</v>
      </c>
      <c r="E7" s="56">
        <v>5</v>
      </c>
      <c r="F7" s="56">
        <v>6</v>
      </c>
      <c r="G7" s="56">
        <v>7</v>
      </c>
      <c r="H7" s="56">
        <v>8</v>
      </c>
      <c r="I7" s="56">
        <v>9</v>
      </c>
      <c r="J7" s="56">
        <v>10</v>
      </c>
      <c r="K7" s="56">
        <v>11</v>
      </c>
      <c r="L7" s="56">
        <v>12</v>
      </c>
      <c r="M7" s="56">
        <v>13</v>
      </c>
      <c r="N7" s="56">
        <v>14</v>
      </c>
      <c r="O7" s="56">
        <v>15</v>
      </c>
      <c r="P7" s="56">
        <v>16</v>
      </c>
      <c r="Q7" s="56">
        <v>17</v>
      </c>
      <c r="R7" s="56">
        <v>18</v>
      </c>
      <c r="S7" s="56">
        <v>19</v>
      </c>
      <c r="T7" s="56">
        <v>20</v>
      </c>
      <c r="U7" s="56">
        <v>21</v>
      </c>
      <c r="V7" s="56">
        <v>22</v>
      </c>
      <c r="W7" s="56">
        <v>23</v>
      </c>
      <c r="X7" s="56">
        <v>24</v>
      </c>
      <c r="Y7" s="56">
        <v>25</v>
      </c>
      <c r="Z7" s="56">
        <v>26</v>
      </c>
      <c r="AA7" s="56">
        <v>27</v>
      </c>
      <c r="AB7" s="56">
        <v>28</v>
      </c>
      <c r="AC7" s="56">
        <v>29</v>
      </c>
      <c r="AD7" s="56">
        <v>30</v>
      </c>
      <c r="AE7" s="56">
        <v>31</v>
      </c>
      <c r="AF7" s="56">
        <v>32</v>
      </c>
      <c r="AG7" s="56">
        <v>33</v>
      </c>
      <c r="AH7" s="56">
        <v>34</v>
      </c>
    </row>
    <row r="8" spans="1:35" s="21" customFormat="1" ht="31.5" customHeight="1" x14ac:dyDescent="0.25">
      <c r="A8" s="413"/>
      <c r="B8" s="361" t="s">
        <v>23</v>
      </c>
      <c r="C8" s="57" t="s">
        <v>20</v>
      </c>
      <c r="D8" s="58">
        <f>D9</f>
        <v>55842.648000000001</v>
      </c>
      <c r="E8" s="58">
        <f>E9</f>
        <v>1258.117</v>
      </c>
      <c r="F8" s="58">
        <f>F9</f>
        <v>0</v>
      </c>
      <c r="G8" s="58">
        <f>G9</f>
        <v>0</v>
      </c>
      <c r="H8" s="58">
        <f>IFERROR(G8/D8*100,0)</f>
        <v>0</v>
      </c>
      <c r="I8" s="58">
        <f>IFERROR(G8/E8*100,0)</f>
        <v>0</v>
      </c>
      <c r="J8" s="59">
        <f>J9</f>
        <v>4597.8230000000003</v>
      </c>
      <c r="K8" s="59">
        <f t="shared" ref="K8:AG8" si="0">K9</f>
        <v>0</v>
      </c>
      <c r="L8" s="59">
        <f t="shared" si="0"/>
        <v>4160.6900000000005</v>
      </c>
      <c r="M8" s="59">
        <f t="shared" si="0"/>
        <v>0</v>
      </c>
      <c r="N8" s="59">
        <f t="shared" si="0"/>
        <v>4143.9070000000002</v>
      </c>
      <c r="O8" s="59">
        <f t="shared" si="0"/>
        <v>0</v>
      </c>
      <c r="P8" s="59">
        <f t="shared" si="0"/>
        <v>4896.2809999999999</v>
      </c>
      <c r="Q8" s="59">
        <f t="shared" si="0"/>
        <v>0</v>
      </c>
      <c r="R8" s="59">
        <f t="shared" si="0"/>
        <v>4433.0919999999996</v>
      </c>
      <c r="S8" s="59">
        <f t="shared" si="0"/>
        <v>0</v>
      </c>
      <c r="T8" s="59">
        <f t="shared" si="0"/>
        <v>4506.8869999999997</v>
      </c>
      <c r="U8" s="59">
        <f t="shared" si="0"/>
        <v>0</v>
      </c>
      <c r="V8" s="59">
        <f t="shared" si="0"/>
        <v>4919.7669999999998</v>
      </c>
      <c r="W8" s="59">
        <f t="shared" si="0"/>
        <v>0</v>
      </c>
      <c r="X8" s="59">
        <f t="shared" si="0"/>
        <v>4983.0329999999994</v>
      </c>
      <c r="Y8" s="59">
        <f t="shared" si="0"/>
        <v>0</v>
      </c>
      <c r="Z8" s="59">
        <f t="shared" si="0"/>
        <v>4047.8069999999998</v>
      </c>
      <c r="AA8" s="59">
        <f t="shared" si="0"/>
        <v>0</v>
      </c>
      <c r="AB8" s="59">
        <f t="shared" si="0"/>
        <v>4115.0160000000005</v>
      </c>
      <c r="AC8" s="59">
        <f t="shared" si="0"/>
        <v>0</v>
      </c>
      <c r="AD8" s="59">
        <f t="shared" si="0"/>
        <v>3952.31</v>
      </c>
      <c r="AE8" s="59">
        <f t="shared" si="0"/>
        <v>0</v>
      </c>
      <c r="AF8" s="59">
        <f t="shared" si="0"/>
        <v>7086.0349999999999</v>
      </c>
      <c r="AG8" s="59">
        <f t="shared" si="0"/>
        <v>0</v>
      </c>
      <c r="AH8" s="60"/>
    </row>
    <row r="9" spans="1:35" s="22" customFormat="1" ht="38.25" customHeight="1" x14ac:dyDescent="0.25">
      <c r="A9" s="414"/>
      <c r="B9" s="362"/>
      <c r="C9" s="61" t="s">
        <v>21</v>
      </c>
      <c r="D9" s="62">
        <f>SUM(J9,L9,N9,P9,R9,T9,V9,X9,Z9,AB9,AD9,AF9)</f>
        <v>55842.648000000001</v>
      </c>
      <c r="E9" s="62">
        <f>E25</f>
        <v>1258.117</v>
      </c>
      <c r="F9" s="62">
        <f>F25</f>
        <v>0</v>
      </c>
      <c r="G9" s="62">
        <f>G25</f>
        <v>0</v>
      </c>
      <c r="H9" s="62">
        <f>IFERROR(G9/D9*100,0)</f>
        <v>0</v>
      </c>
      <c r="I9" s="62">
        <f>IFERROR(G9/E9*100,0)</f>
        <v>0</v>
      </c>
      <c r="J9" s="62">
        <f t="shared" ref="J9:AG9" si="1">J12+J25+J27</f>
        <v>4597.8230000000003</v>
      </c>
      <c r="K9" s="62">
        <f t="shared" si="1"/>
        <v>0</v>
      </c>
      <c r="L9" s="62">
        <f t="shared" si="1"/>
        <v>4160.6900000000005</v>
      </c>
      <c r="M9" s="62">
        <f t="shared" si="1"/>
        <v>0</v>
      </c>
      <c r="N9" s="62">
        <f t="shared" si="1"/>
        <v>4143.9070000000002</v>
      </c>
      <c r="O9" s="62">
        <f t="shared" si="1"/>
        <v>0</v>
      </c>
      <c r="P9" s="62">
        <f t="shared" si="1"/>
        <v>4896.2809999999999</v>
      </c>
      <c r="Q9" s="62">
        <f t="shared" si="1"/>
        <v>0</v>
      </c>
      <c r="R9" s="62">
        <f t="shared" si="1"/>
        <v>4433.0919999999996</v>
      </c>
      <c r="S9" s="62">
        <f t="shared" si="1"/>
        <v>0</v>
      </c>
      <c r="T9" s="62">
        <f t="shared" si="1"/>
        <v>4506.8869999999997</v>
      </c>
      <c r="U9" s="62">
        <f t="shared" si="1"/>
        <v>0</v>
      </c>
      <c r="V9" s="62">
        <f t="shared" si="1"/>
        <v>4919.7669999999998</v>
      </c>
      <c r="W9" s="62">
        <f t="shared" si="1"/>
        <v>0</v>
      </c>
      <c r="X9" s="62">
        <f t="shared" si="1"/>
        <v>4983.0329999999994</v>
      </c>
      <c r="Y9" s="62">
        <f t="shared" si="1"/>
        <v>0</v>
      </c>
      <c r="Z9" s="62">
        <f t="shared" si="1"/>
        <v>4047.8069999999998</v>
      </c>
      <c r="AA9" s="62">
        <f t="shared" si="1"/>
        <v>0</v>
      </c>
      <c r="AB9" s="62">
        <f t="shared" si="1"/>
        <v>4115.0160000000005</v>
      </c>
      <c r="AC9" s="62">
        <f t="shared" si="1"/>
        <v>0</v>
      </c>
      <c r="AD9" s="62">
        <f t="shared" si="1"/>
        <v>3952.31</v>
      </c>
      <c r="AE9" s="62">
        <f t="shared" si="1"/>
        <v>0</v>
      </c>
      <c r="AF9" s="62">
        <f t="shared" si="1"/>
        <v>7086.0349999999999</v>
      </c>
      <c r="AG9" s="62">
        <f t="shared" si="1"/>
        <v>0</v>
      </c>
      <c r="AH9" s="64"/>
    </row>
    <row r="10" spans="1:35" s="26" customFormat="1" ht="18.75" customHeight="1" x14ac:dyDescent="0.25">
      <c r="A10" s="132" t="s">
        <v>152</v>
      </c>
      <c r="B10" s="426" t="s">
        <v>183</v>
      </c>
      <c r="C10" s="427"/>
      <c r="D10" s="427"/>
      <c r="E10" s="427"/>
      <c r="F10" s="427"/>
      <c r="G10" s="427"/>
      <c r="H10" s="427"/>
      <c r="I10" s="427"/>
      <c r="J10" s="427"/>
      <c r="K10" s="427"/>
      <c r="L10" s="427"/>
      <c r="M10" s="427"/>
      <c r="N10" s="427"/>
      <c r="O10" s="427"/>
      <c r="P10" s="427"/>
      <c r="Q10" s="427"/>
      <c r="R10" s="427"/>
      <c r="S10" s="427"/>
      <c r="T10" s="427"/>
      <c r="U10" s="427"/>
      <c r="V10" s="427"/>
      <c r="W10" s="427"/>
      <c r="X10" s="427"/>
      <c r="Y10" s="427"/>
      <c r="Z10" s="427"/>
      <c r="AA10" s="427"/>
      <c r="AB10" s="427"/>
      <c r="AC10" s="427"/>
      <c r="AD10" s="427"/>
      <c r="AE10" s="427"/>
      <c r="AF10" s="427"/>
      <c r="AG10" s="428"/>
      <c r="AH10" s="75"/>
    </row>
    <row r="11" spans="1:35" s="21" customFormat="1" ht="88.5" customHeight="1" x14ac:dyDescent="0.25">
      <c r="A11" s="413" t="s">
        <v>153</v>
      </c>
      <c r="B11" s="361" t="s">
        <v>184</v>
      </c>
      <c r="C11" s="57" t="s">
        <v>20</v>
      </c>
      <c r="D11" s="58">
        <f>D12</f>
        <v>7079.4500000000007</v>
      </c>
      <c r="E11" s="58">
        <f>E12</f>
        <v>232.477</v>
      </c>
      <c r="F11" s="58">
        <f>F12</f>
        <v>0</v>
      </c>
      <c r="G11" s="58">
        <f>G12</f>
        <v>0</v>
      </c>
      <c r="H11" s="58">
        <f t="shared" ref="H11:H24" si="2">IFERROR(G11/D11*100,0)</f>
        <v>0</v>
      </c>
      <c r="I11" s="58">
        <f t="shared" ref="I11:I24" si="3">IFERROR(G11/E11*100,0)</f>
        <v>0</v>
      </c>
      <c r="J11" s="59">
        <f t="shared" ref="J11:AG11" si="4">J12</f>
        <v>232.477</v>
      </c>
      <c r="K11" s="59">
        <f t="shared" si="4"/>
        <v>0</v>
      </c>
      <c r="L11" s="59">
        <f t="shared" si="4"/>
        <v>225.904</v>
      </c>
      <c r="M11" s="59">
        <f t="shared" si="4"/>
        <v>0</v>
      </c>
      <c r="N11" s="59">
        <f t="shared" si="4"/>
        <v>225.904</v>
      </c>
      <c r="O11" s="59">
        <f t="shared" si="4"/>
        <v>0</v>
      </c>
      <c r="P11" s="59">
        <f t="shared" si="4"/>
        <v>228.60399999999998</v>
      </c>
      <c r="Q11" s="59">
        <f t="shared" si="4"/>
        <v>0</v>
      </c>
      <c r="R11" s="59">
        <f t="shared" si="4"/>
        <v>230.304</v>
      </c>
      <c r="S11" s="59">
        <f t="shared" si="4"/>
        <v>0</v>
      </c>
      <c r="T11" s="59">
        <f t="shared" si="4"/>
        <v>371.084</v>
      </c>
      <c r="U11" s="59">
        <f t="shared" si="4"/>
        <v>0</v>
      </c>
      <c r="V11" s="59">
        <f t="shared" si="4"/>
        <v>641.88400000000001</v>
      </c>
      <c r="W11" s="59">
        <f t="shared" si="4"/>
        <v>0</v>
      </c>
      <c r="X11" s="59">
        <f t="shared" si="4"/>
        <v>963.62399999999991</v>
      </c>
      <c r="Y11" s="59">
        <f t="shared" si="4"/>
        <v>0</v>
      </c>
      <c r="Z11" s="59">
        <f t="shared" si="4"/>
        <v>452.20400000000001</v>
      </c>
      <c r="AA11" s="59">
        <f t="shared" si="4"/>
        <v>0</v>
      </c>
      <c r="AB11" s="59">
        <f t="shared" si="4"/>
        <v>267.00400000000002</v>
      </c>
      <c r="AC11" s="59">
        <f t="shared" si="4"/>
        <v>0</v>
      </c>
      <c r="AD11" s="59">
        <f t="shared" si="4"/>
        <v>345.20400000000001</v>
      </c>
      <c r="AE11" s="59">
        <f t="shared" si="4"/>
        <v>0</v>
      </c>
      <c r="AF11" s="59">
        <f t="shared" si="4"/>
        <v>2895.2530000000002</v>
      </c>
      <c r="AG11" s="59">
        <f t="shared" si="4"/>
        <v>0</v>
      </c>
      <c r="AH11" s="60"/>
      <c r="AI11" s="23"/>
    </row>
    <row r="12" spans="1:35" s="21" customFormat="1" ht="105.75" customHeight="1" x14ac:dyDescent="0.25">
      <c r="A12" s="415"/>
      <c r="B12" s="363"/>
      <c r="C12" s="61" t="s">
        <v>21</v>
      </c>
      <c r="D12" s="62">
        <f>SUM(J12,L12,N12,P12,R12,T12,V12,X12,Z12,AB12,AD12,AF12)</f>
        <v>7079.4500000000007</v>
      </c>
      <c r="E12" s="62">
        <f>J12</f>
        <v>232.477</v>
      </c>
      <c r="F12" s="62">
        <f>G12</f>
        <v>0</v>
      </c>
      <c r="G12" s="62">
        <f>SUM(K12,M12,O12,Q12,S12,U12,W12,Y12,AA12,AC12,AE12,AG12)</f>
        <v>0</v>
      </c>
      <c r="H12" s="62">
        <f t="shared" si="2"/>
        <v>0</v>
      </c>
      <c r="I12" s="62">
        <f t="shared" si="3"/>
        <v>0</v>
      </c>
      <c r="J12" s="63">
        <f t="shared" ref="J12:AG12" si="5">J14+J16+J18+J20+J22</f>
        <v>232.477</v>
      </c>
      <c r="K12" s="63">
        <f t="shared" si="5"/>
        <v>0</v>
      </c>
      <c r="L12" s="63">
        <f t="shared" si="5"/>
        <v>225.904</v>
      </c>
      <c r="M12" s="63">
        <f t="shared" si="5"/>
        <v>0</v>
      </c>
      <c r="N12" s="63">
        <f t="shared" si="5"/>
        <v>225.904</v>
      </c>
      <c r="O12" s="63">
        <f t="shared" si="5"/>
        <v>0</v>
      </c>
      <c r="P12" s="63">
        <f t="shared" si="5"/>
        <v>228.60399999999998</v>
      </c>
      <c r="Q12" s="63">
        <f t="shared" si="5"/>
        <v>0</v>
      </c>
      <c r="R12" s="63">
        <f t="shared" si="5"/>
        <v>230.304</v>
      </c>
      <c r="S12" s="63">
        <f t="shared" si="5"/>
        <v>0</v>
      </c>
      <c r="T12" s="63">
        <f t="shared" si="5"/>
        <v>371.084</v>
      </c>
      <c r="U12" s="63">
        <f t="shared" si="5"/>
        <v>0</v>
      </c>
      <c r="V12" s="63">
        <f t="shared" si="5"/>
        <v>641.88400000000001</v>
      </c>
      <c r="W12" s="63">
        <f t="shared" si="5"/>
        <v>0</v>
      </c>
      <c r="X12" s="63">
        <f t="shared" si="5"/>
        <v>963.62399999999991</v>
      </c>
      <c r="Y12" s="63">
        <f t="shared" si="5"/>
        <v>0</v>
      </c>
      <c r="Z12" s="63">
        <f t="shared" si="5"/>
        <v>452.20400000000001</v>
      </c>
      <c r="AA12" s="63">
        <f t="shared" si="5"/>
        <v>0</v>
      </c>
      <c r="AB12" s="63">
        <f t="shared" si="5"/>
        <v>267.00400000000002</v>
      </c>
      <c r="AC12" s="63">
        <f t="shared" si="5"/>
        <v>0</v>
      </c>
      <c r="AD12" s="63">
        <f t="shared" si="5"/>
        <v>345.20400000000001</v>
      </c>
      <c r="AE12" s="63">
        <f t="shared" si="5"/>
        <v>0</v>
      </c>
      <c r="AF12" s="63">
        <f t="shared" si="5"/>
        <v>2895.2530000000002</v>
      </c>
      <c r="AG12" s="63">
        <f t="shared" si="5"/>
        <v>0</v>
      </c>
      <c r="AH12" s="60"/>
      <c r="AI12" s="23"/>
    </row>
    <row r="13" spans="1:35" s="138" customFormat="1" ht="35.25" customHeight="1" x14ac:dyDescent="0.25">
      <c r="A13" s="471"/>
      <c r="B13" s="477" t="s">
        <v>185</v>
      </c>
      <c r="C13" s="108" t="s">
        <v>20</v>
      </c>
      <c r="D13" s="109">
        <f>D14</f>
        <v>822.59999999999991</v>
      </c>
      <c r="E13" s="109">
        <f t="shared" ref="E13:G21" si="6">E14</f>
        <v>0</v>
      </c>
      <c r="F13" s="109">
        <f t="shared" si="6"/>
        <v>0</v>
      </c>
      <c r="G13" s="109">
        <f t="shared" si="6"/>
        <v>0</v>
      </c>
      <c r="H13" s="109">
        <f t="shared" si="2"/>
        <v>0</v>
      </c>
      <c r="I13" s="109">
        <f t="shared" si="3"/>
        <v>0</v>
      </c>
      <c r="J13" s="110">
        <f>J14</f>
        <v>0</v>
      </c>
      <c r="K13" s="110">
        <f t="shared" ref="K13:AG21" si="7">K14</f>
        <v>0</v>
      </c>
      <c r="L13" s="110">
        <f t="shared" si="7"/>
        <v>0</v>
      </c>
      <c r="M13" s="110">
        <f t="shared" si="7"/>
        <v>0</v>
      </c>
      <c r="N13" s="110">
        <f t="shared" si="7"/>
        <v>0</v>
      </c>
      <c r="O13" s="110">
        <f t="shared" si="7"/>
        <v>0</v>
      </c>
      <c r="P13" s="110">
        <f t="shared" si="7"/>
        <v>2.7</v>
      </c>
      <c r="Q13" s="110">
        <f t="shared" si="7"/>
        <v>0</v>
      </c>
      <c r="R13" s="110">
        <f t="shared" si="7"/>
        <v>4.4000000000000004</v>
      </c>
      <c r="S13" s="110">
        <f t="shared" si="7"/>
        <v>0</v>
      </c>
      <c r="T13" s="110">
        <f t="shared" si="7"/>
        <v>7.1</v>
      </c>
      <c r="U13" s="110">
        <f t="shared" si="7"/>
        <v>0</v>
      </c>
      <c r="V13" s="110">
        <f t="shared" si="7"/>
        <v>265</v>
      </c>
      <c r="W13" s="110">
        <f t="shared" si="7"/>
        <v>0</v>
      </c>
      <c r="X13" s="110">
        <f t="shared" si="7"/>
        <v>349.4</v>
      </c>
      <c r="Y13" s="110">
        <f t="shared" si="7"/>
        <v>0</v>
      </c>
      <c r="Z13" s="110">
        <f t="shared" si="7"/>
        <v>189.6</v>
      </c>
      <c r="AA13" s="110">
        <f t="shared" si="7"/>
        <v>0</v>
      </c>
      <c r="AB13" s="110">
        <f t="shared" si="7"/>
        <v>4.4000000000000004</v>
      </c>
      <c r="AC13" s="110">
        <f t="shared" si="7"/>
        <v>0</v>
      </c>
      <c r="AD13" s="110">
        <f t="shared" si="7"/>
        <v>0</v>
      </c>
      <c r="AE13" s="110">
        <f t="shared" si="7"/>
        <v>0</v>
      </c>
      <c r="AF13" s="110">
        <f t="shared" si="7"/>
        <v>0</v>
      </c>
      <c r="AG13" s="110">
        <f t="shared" si="7"/>
        <v>0</v>
      </c>
      <c r="AH13" s="111"/>
      <c r="AI13" s="137"/>
    </row>
    <row r="14" spans="1:35" s="53" customFormat="1" ht="42" customHeight="1" x14ac:dyDescent="0.25">
      <c r="A14" s="472"/>
      <c r="B14" s="478"/>
      <c r="C14" s="112" t="s">
        <v>21</v>
      </c>
      <c r="D14" s="113">
        <f>SUM(J14,L14,N14,P14,R14,T14,V14,X14,Z14,AB14,AD14,AF14)</f>
        <v>822.59999999999991</v>
      </c>
      <c r="E14" s="113">
        <f>J14</f>
        <v>0</v>
      </c>
      <c r="F14" s="113">
        <f>G14</f>
        <v>0</v>
      </c>
      <c r="G14" s="113">
        <f>SUM(K14,M14,O14,Q14,S14,U14,W14,Y14,AA14,AC14,AE14,AG14)</f>
        <v>0</v>
      </c>
      <c r="H14" s="113">
        <f t="shared" ref="H14:H22" si="8">IFERROR(G14/D14*100,0)</f>
        <v>0</v>
      </c>
      <c r="I14" s="113">
        <f t="shared" ref="I14:I22" si="9">IFERROR(G14/E14*100,0)</f>
        <v>0</v>
      </c>
      <c r="J14" s="114">
        <v>0</v>
      </c>
      <c r="K14" s="114">
        <v>0</v>
      </c>
      <c r="L14" s="114">
        <v>0</v>
      </c>
      <c r="M14" s="114">
        <v>0</v>
      </c>
      <c r="N14" s="114">
        <v>0</v>
      </c>
      <c r="O14" s="114">
        <v>0</v>
      </c>
      <c r="P14" s="114">
        <v>2.7</v>
      </c>
      <c r="Q14" s="114">
        <v>0</v>
      </c>
      <c r="R14" s="114">
        <v>4.4000000000000004</v>
      </c>
      <c r="S14" s="114">
        <v>0</v>
      </c>
      <c r="T14" s="114">
        <v>7.1</v>
      </c>
      <c r="U14" s="114">
        <v>0</v>
      </c>
      <c r="V14" s="114">
        <v>265</v>
      </c>
      <c r="W14" s="114">
        <v>0</v>
      </c>
      <c r="X14" s="114">
        <v>349.4</v>
      </c>
      <c r="Y14" s="114">
        <v>0</v>
      </c>
      <c r="Z14" s="114">
        <v>189.6</v>
      </c>
      <c r="AA14" s="114">
        <v>0</v>
      </c>
      <c r="AB14" s="114">
        <v>4.4000000000000004</v>
      </c>
      <c r="AC14" s="114">
        <v>0</v>
      </c>
      <c r="AD14" s="114">
        <v>0</v>
      </c>
      <c r="AE14" s="114">
        <v>0</v>
      </c>
      <c r="AF14" s="114">
        <v>0</v>
      </c>
      <c r="AG14" s="114">
        <v>0</v>
      </c>
      <c r="AH14" s="111"/>
      <c r="AI14" s="137"/>
    </row>
    <row r="15" spans="1:35" s="138" customFormat="1" ht="35.25" customHeight="1" x14ac:dyDescent="0.25">
      <c r="A15" s="479"/>
      <c r="B15" s="477" t="s">
        <v>186</v>
      </c>
      <c r="C15" s="108" t="s">
        <v>20</v>
      </c>
      <c r="D15" s="109">
        <f>D16</f>
        <v>602.75</v>
      </c>
      <c r="E15" s="109">
        <f t="shared" si="6"/>
        <v>0</v>
      </c>
      <c r="F15" s="109">
        <f t="shared" si="6"/>
        <v>0</v>
      </c>
      <c r="G15" s="109">
        <f t="shared" si="6"/>
        <v>0</v>
      </c>
      <c r="H15" s="109">
        <f t="shared" si="8"/>
        <v>0</v>
      </c>
      <c r="I15" s="109">
        <f t="shared" si="9"/>
        <v>0</v>
      </c>
      <c r="J15" s="110">
        <f>J16</f>
        <v>0</v>
      </c>
      <c r="K15" s="110">
        <f t="shared" si="7"/>
        <v>0</v>
      </c>
      <c r="L15" s="110">
        <f t="shared" si="7"/>
        <v>0</v>
      </c>
      <c r="M15" s="110">
        <f t="shared" si="7"/>
        <v>0</v>
      </c>
      <c r="N15" s="110">
        <f t="shared" si="7"/>
        <v>0</v>
      </c>
      <c r="O15" s="110">
        <f t="shared" si="7"/>
        <v>0</v>
      </c>
      <c r="P15" s="110">
        <f t="shared" si="7"/>
        <v>0</v>
      </c>
      <c r="Q15" s="110">
        <f t="shared" si="7"/>
        <v>0</v>
      </c>
      <c r="R15" s="110">
        <f t="shared" si="7"/>
        <v>0</v>
      </c>
      <c r="S15" s="110">
        <f t="shared" si="7"/>
        <v>0</v>
      </c>
      <c r="T15" s="110">
        <f t="shared" si="7"/>
        <v>128</v>
      </c>
      <c r="U15" s="110">
        <f t="shared" si="7"/>
        <v>0</v>
      </c>
      <c r="V15" s="110">
        <f t="shared" si="7"/>
        <v>102.9</v>
      </c>
      <c r="W15" s="110">
        <f t="shared" si="7"/>
        <v>0</v>
      </c>
      <c r="X15" s="110">
        <f t="shared" si="7"/>
        <v>361.7</v>
      </c>
      <c r="Y15" s="110">
        <f t="shared" si="7"/>
        <v>0</v>
      </c>
      <c r="Z15" s="110">
        <f t="shared" si="7"/>
        <v>0</v>
      </c>
      <c r="AA15" s="110">
        <f t="shared" si="7"/>
        <v>0</v>
      </c>
      <c r="AB15" s="110">
        <f t="shared" si="7"/>
        <v>0</v>
      </c>
      <c r="AC15" s="110">
        <f t="shared" si="7"/>
        <v>0</v>
      </c>
      <c r="AD15" s="110">
        <f t="shared" si="7"/>
        <v>0</v>
      </c>
      <c r="AE15" s="110">
        <f t="shared" si="7"/>
        <v>0</v>
      </c>
      <c r="AF15" s="110">
        <f t="shared" si="7"/>
        <v>10.15</v>
      </c>
      <c r="AG15" s="110">
        <f t="shared" si="7"/>
        <v>0</v>
      </c>
      <c r="AH15" s="111"/>
      <c r="AI15" s="137"/>
    </row>
    <row r="16" spans="1:35" s="53" customFormat="1" ht="42" customHeight="1" x14ac:dyDescent="0.25">
      <c r="A16" s="480"/>
      <c r="B16" s="481"/>
      <c r="C16" s="112" t="s">
        <v>21</v>
      </c>
      <c r="D16" s="113">
        <f>SUM(J16,L16,N16,P16,R16,T16,V16,X16,Z16,AB16,AD16,AF16)</f>
        <v>602.75</v>
      </c>
      <c r="E16" s="113">
        <f>J16</f>
        <v>0</v>
      </c>
      <c r="F16" s="113">
        <f>G16</f>
        <v>0</v>
      </c>
      <c r="G16" s="113">
        <f>SUM(K16,M16,O16,Q16,S16,U16,W16,Y16,AA16,AC16,AE16,AG16)</f>
        <v>0</v>
      </c>
      <c r="H16" s="113">
        <f t="shared" si="8"/>
        <v>0</v>
      </c>
      <c r="I16" s="113">
        <f t="shared" si="9"/>
        <v>0</v>
      </c>
      <c r="J16" s="114">
        <v>0</v>
      </c>
      <c r="K16" s="114">
        <v>0</v>
      </c>
      <c r="L16" s="114">
        <v>0</v>
      </c>
      <c r="M16" s="114">
        <v>0</v>
      </c>
      <c r="N16" s="114">
        <v>0</v>
      </c>
      <c r="O16" s="114">
        <v>0</v>
      </c>
      <c r="P16" s="114">
        <v>0</v>
      </c>
      <c r="Q16" s="114">
        <v>0</v>
      </c>
      <c r="R16" s="114">
        <v>0</v>
      </c>
      <c r="S16" s="114">
        <v>0</v>
      </c>
      <c r="T16" s="114">
        <v>128</v>
      </c>
      <c r="U16" s="114">
        <v>0</v>
      </c>
      <c r="V16" s="114">
        <v>102.9</v>
      </c>
      <c r="W16" s="114">
        <v>0</v>
      </c>
      <c r="X16" s="114">
        <v>361.7</v>
      </c>
      <c r="Y16" s="114">
        <v>0</v>
      </c>
      <c r="Z16" s="114">
        <v>0</v>
      </c>
      <c r="AA16" s="114">
        <v>0</v>
      </c>
      <c r="AB16" s="114">
        <v>0</v>
      </c>
      <c r="AC16" s="114">
        <v>0</v>
      </c>
      <c r="AD16" s="114">
        <v>0</v>
      </c>
      <c r="AE16" s="114">
        <v>0</v>
      </c>
      <c r="AF16" s="114">
        <v>10.15</v>
      </c>
      <c r="AG16" s="114">
        <v>0</v>
      </c>
      <c r="AH16" s="111"/>
      <c r="AI16" s="137"/>
    </row>
    <row r="17" spans="1:35" s="138" customFormat="1" ht="42.75" customHeight="1" x14ac:dyDescent="0.25">
      <c r="A17" s="471"/>
      <c r="B17" s="477" t="s">
        <v>187</v>
      </c>
      <c r="C17" s="108" t="s">
        <v>20</v>
      </c>
      <c r="D17" s="109">
        <f>D18</f>
        <v>5317.1</v>
      </c>
      <c r="E17" s="109">
        <f t="shared" si="6"/>
        <v>232.477</v>
      </c>
      <c r="F17" s="109">
        <f t="shared" si="6"/>
        <v>0</v>
      </c>
      <c r="G17" s="109">
        <f t="shared" si="6"/>
        <v>0</v>
      </c>
      <c r="H17" s="109">
        <f t="shared" si="8"/>
        <v>0</v>
      </c>
      <c r="I17" s="109">
        <f t="shared" si="9"/>
        <v>0</v>
      </c>
      <c r="J17" s="110">
        <f>J18</f>
        <v>232.477</v>
      </c>
      <c r="K17" s="110">
        <f t="shared" si="7"/>
        <v>0</v>
      </c>
      <c r="L17" s="110">
        <f t="shared" si="7"/>
        <v>225.904</v>
      </c>
      <c r="M17" s="110">
        <f t="shared" si="7"/>
        <v>0</v>
      </c>
      <c r="N17" s="110">
        <f t="shared" si="7"/>
        <v>225.904</v>
      </c>
      <c r="O17" s="110">
        <f t="shared" si="7"/>
        <v>0</v>
      </c>
      <c r="P17" s="110">
        <f t="shared" si="7"/>
        <v>225.904</v>
      </c>
      <c r="Q17" s="110">
        <f t="shared" si="7"/>
        <v>0</v>
      </c>
      <c r="R17" s="110">
        <f t="shared" si="7"/>
        <v>225.904</v>
      </c>
      <c r="S17" s="110">
        <f t="shared" si="7"/>
        <v>0</v>
      </c>
      <c r="T17" s="110">
        <f t="shared" si="7"/>
        <v>225.904</v>
      </c>
      <c r="U17" s="110">
        <f t="shared" si="7"/>
        <v>0</v>
      </c>
      <c r="V17" s="110">
        <f t="shared" si="7"/>
        <v>225.904</v>
      </c>
      <c r="W17" s="110">
        <f t="shared" si="7"/>
        <v>0</v>
      </c>
      <c r="X17" s="110">
        <f t="shared" si="7"/>
        <v>225.904</v>
      </c>
      <c r="Y17" s="110">
        <f t="shared" si="7"/>
        <v>0</v>
      </c>
      <c r="Z17" s="110">
        <f>Z18</f>
        <v>225.904</v>
      </c>
      <c r="AA17" s="110">
        <f t="shared" si="7"/>
        <v>0</v>
      </c>
      <c r="AB17" s="110">
        <f t="shared" si="7"/>
        <v>225.904</v>
      </c>
      <c r="AC17" s="110">
        <f t="shared" si="7"/>
        <v>0</v>
      </c>
      <c r="AD17" s="110">
        <f t="shared" si="7"/>
        <v>225.904</v>
      </c>
      <c r="AE17" s="110">
        <f t="shared" si="7"/>
        <v>0</v>
      </c>
      <c r="AF17" s="110">
        <f t="shared" si="7"/>
        <v>2825.5830000000001</v>
      </c>
      <c r="AG17" s="110">
        <f t="shared" si="7"/>
        <v>0</v>
      </c>
      <c r="AH17" s="139"/>
      <c r="AI17" s="137"/>
    </row>
    <row r="18" spans="1:35" s="53" customFormat="1" ht="45.75" customHeight="1" x14ac:dyDescent="0.25">
      <c r="A18" s="472"/>
      <c r="B18" s="478"/>
      <c r="C18" s="112" t="s">
        <v>21</v>
      </c>
      <c r="D18" s="113">
        <f>SUM(J18,L18,N18,P18,R18,T18,V18,X18,Z18,AB18,AD18,AF18)</f>
        <v>5317.1</v>
      </c>
      <c r="E18" s="113">
        <f>J18</f>
        <v>232.477</v>
      </c>
      <c r="F18" s="113">
        <f>G18</f>
        <v>0</v>
      </c>
      <c r="G18" s="113">
        <f>SUM(K18,M18,O18,Q18,S18,U18,W18,Y18,AA18,AC18,AE18,AG18)</f>
        <v>0</v>
      </c>
      <c r="H18" s="113">
        <f t="shared" si="8"/>
        <v>0</v>
      </c>
      <c r="I18" s="113">
        <f t="shared" si="9"/>
        <v>0</v>
      </c>
      <c r="J18" s="114">
        <v>232.477</v>
      </c>
      <c r="K18" s="114">
        <v>0</v>
      </c>
      <c r="L18" s="114">
        <v>225.904</v>
      </c>
      <c r="M18" s="114">
        <v>0</v>
      </c>
      <c r="N18" s="114">
        <v>225.904</v>
      </c>
      <c r="O18" s="114">
        <v>0</v>
      </c>
      <c r="P18" s="114">
        <v>225.904</v>
      </c>
      <c r="Q18" s="114">
        <v>0</v>
      </c>
      <c r="R18" s="114">
        <v>225.904</v>
      </c>
      <c r="S18" s="114">
        <v>0</v>
      </c>
      <c r="T18" s="114">
        <v>225.904</v>
      </c>
      <c r="U18" s="114">
        <v>0</v>
      </c>
      <c r="V18" s="114">
        <v>225.904</v>
      </c>
      <c r="W18" s="114">
        <v>0</v>
      </c>
      <c r="X18" s="114">
        <v>225.904</v>
      </c>
      <c r="Y18" s="114">
        <v>0</v>
      </c>
      <c r="Z18" s="114">
        <v>225.904</v>
      </c>
      <c r="AA18" s="114">
        <v>0</v>
      </c>
      <c r="AB18" s="114">
        <v>225.904</v>
      </c>
      <c r="AC18" s="114">
        <v>0</v>
      </c>
      <c r="AD18" s="114">
        <v>225.904</v>
      </c>
      <c r="AE18" s="114">
        <v>0</v>
      </c>
      <c r="AF18" s="114">
        <v>2825.5830000000001</v>
      </c>
      <c r="AG18" s="114">
        <v>0</v>
      </c>
      <c r="AH18" s="139"/>
      <c r="AI18" s="137"/>
    </row>
    <row r="19" spans="1:35" s="138" customFormat="1" ht="35.25" customHeight="1" x14ac:dyDescent="0.25">
      <c r="A19" s="471"/>
      <c r="B19" s="473" t="s">
        <v>188</v>
      </c>
      <c r="C19" s="108" t="s">
        <v>20</v>
      </c>
      <c r="D19" s="109">
        <f>D20</f>
        <v>100</v>
      </c>
      <c r="E19" s="109">
        <f t="shared" si="6"/>
        <v>0</v>
      </c>
      <c r="F19" s="109">
        <f t="shared" si="6"/>
        <v>0</v>
      </c>
      <c r="G19" s="109">
        <f t="shared" si="6"/>
        <v>0</v>
      </c>
      <c r="H19" s="109">
        <f t="shared" si="8"/>
        <v>0</v>
      </c>
      <c r="I19" s="109">
        <f t="shared" si="9"/>
        <v>0</v>
      </c>
      <c r="J19" s="110">
        <f>J20</f>
        <v>0</v>
      </c>
      <c r="K19" s="110">
        <f t="shared" si="7"/>
        <v>0</v>
      </c>
      <c r="L19" s="110">
        <f>L20</f>
        <v>0</v>
      </c>
      <c r="M19" s="110">
        <f t="shared" si="7"/>
        <v>0</v>
      </c>
      <c r="N19" s="110">
        <f t="shared" si="7"/>
        <v>0</v>
      </c>
      <c r="O19" s="110">
        <f t="shared" si="7"/>
        <v>0</v>
      </c>
      <c r="P19" s="110">
        <f t="shared" si="7"/>
        <v>0</v>
      </c>
      <c r="Q19" s="110">
        <f t="shared" si="7"/>
        <v>0</v>
      </c>
      <c r="R19" s="110">
        <f t="shared" si="7"/>
        <v>0</v>
      </c>
      <c r="S19" s="110">
        <f t="shared" si="7"/>
        <v>0</v>
      </c>
      <c r="T19" s="110">
        <f t="shared" si="7"/>
        <v>0</v>
      </c>
      <c r="U19" s="110">
        <f t="shared" si="7"/>
        <v>0</v>
      </c>
      <c r="V19" s="110">
        <f t="shared" si="7"/>
        <v>0</v>
      </c>
      <c r="W19" s="110">
        <f t="shared" si="7"/>
        <v>0</v>
      </c>
      <c r="X19" s="110">
        <f t="shared" si="7"/>
        <v>0</v>
      </c>
      <c r="Y19" s="110">
        <f t="shared" si="7"/>
        <v>0</v>
      </c>
      <c r="Z19" s="110">
        <f t="shared" si="7"/>
        <v>0</v>
      </c>
      <c r="AA19" s="110">
        <f t="shared" si="7"/>
        <v>0</v>
      </c>
      <c r="AB19" s="110">
        <f t="shared" si="7"/>
        <v>0</v>
      </c>
      <c r="AC19" s="110">
        <f t="shared" si="7"/>
        <v>0</v>
      </c>
      <c r="AD19" s="110">
        <f t="shared" si="7"/>
        <v>100</v>
      </c>
      <c r="AE19" s="110">
        <f t="shared" si="7"/>
        <v>0</v>
      </c>
      <c r="AF19" s="110">
        <f>AF20</f>
        <v>0</v>
      </c>
      <c r="AG19" s="110">
        <f t="shared" si="7"/>
        <v>0</v>
      </c>
      <c r="AH19" s="111"/>
      <c r="AI19" s="137"/>
    </row>
    <row r="20" spans="1:35" s="53" customFormat="1" ht="42" customHeight="1" x14ac:dyDescent="0.25">
      <c r="A20" s="472"/>
      <c r="B20" s="474"/>
      <c r="C20" s="112" t="s">
        <v>21</v>
      </c>
      <c r="D20" s="113">
        <f>SUM(J20,L20,N20,P20,R20,T20,V20,X20,Z20,AB20,AD20,AF20)</f>
        <v>100</v>
      </c>
      <c r="E20" s="113">
        <f>J20</f>
        <v>0</v>
      </c>
      <c r="F20" s="113">
        <f>G20</f>
        <v>0</v>
      </c>
      <c r="G20" s="113">
        <f>SUM(K20,M20,O20,Q20,S20,U20,W20,Y20,AA20,AC20,AE20,AG20)</f>
        <v>0</v>
      </c>
      <c r="H20" s="113">
        <f t="shared" si="8"/>
        <v>0</v>
      </c>
      <c r="I20" s="113">
        <f t="shared" si="9"/>
        <v>0</v>
      </c>
      <c r="J20" s="114">
        <v>0</v>
      </c>
      <c r="K20" s="114">
        <v>0</v>
      </c>
      <c r="L20" s="114">
        <v>0</v>
      </c>
      <c r="M20" s="114">
        <v>0</v>
      </c>
      <c r="N20" s="114">
        <v>0</v>
      </c>
      <c r="O20" s="114">
        <v>0</v>
      </c>
      <c r="P20" s="114">
        <v>0</v>
      </c>
      <c r="Q20" s="114">
        <v>0</v>
      </c>
      <c r="R20" s="114">
        <v>0</v>
      </c>
      <c r="S20" s="114">
        <v>0</v>
      </c>
      <c r="T20" s="114">
        <v>0</v>
      </c>
      <c r="U20" s="114">
        <v>0</v>
      </c>
      <c r="V20" s="114">
        <v>0</v>
      </c>
      <c r="W20" s="114">
        <v>0</v>
      </c>
      <c r="X20" s="114">
        <v>0</v>
      </c>
      <c r="Y20" s="114">
        <v>0</v>
      </c>
      <c r="Z20" s="114">
        <v>0</v>
      </c>
      <c r="AA20" s="114">
        <v>0</v>
      </c>
      <c r="AB20" s="114">
        <v>0</v>
      </c>
      <c r="AC20" s="114">
        <v>0</v>
      </c>
      <c r="AD20" s="114">
        <v>100</v>
      </c>
      <c r="AE20" s="114">
        <v>0</v>
      </c>
      <c r="AF20" s="114">
        <v>0</v>
      </c>
      <c r="AG20" s="114">
        <v>0</v>
      </c>
      <c r="AH20" s="111"/>
      <c r="AI20" s="137"/>
    </row>
    <row r="21" spans="1:35" s="138" customFormat="1" ht="35.25" customHeight="1" x14ac:dyDescent="0.25">
      <c r="A21" s="471"/>
      <c r="B21" s="473" t="s">
        <v>189</v>
      </c>
      <c r="C21" s="108" t="s">
        <v>20</v>
      </c>
      <c r="D21" s="109">
        <f>D22</f>
        <v>237.00000000000003</v>
      </c>
      <c r="E21" s="109">
        <f t="shared" si="6"/>
        <v>0</v>
      </c>
      <c r="F21" s="109">
        <f t="shared" si="6"/>
        <v>0</v>
      </c>
      <c r="G21" s="109">
        <f t="shared" si="6"/>
        <v>0</v>
      </c>
      <c r="H21" s="109">
        <f t="shared" si="8"/>
        <v>0</v>
      </c>
      <c r="I21" s="109">
        <f t="shared" si="9"/>
        <v>0</v>
      </c>
      <c r="J21" s="110">
        <f>J22</f>
        <v>0</v>
      </c>
      <c r="K21" s="110">
        <f t="shared" si="7"/>
        <v>0</v>
      </c>
      <c r="L21" s="110">
        <f>L22</f>
        <v>0</v>
      </c>
      <c r="M21" s="110">
        <f t="shared" si="7"/>
        <v>0</v>
      </c>
      <c r="N21" s="110">
        <f t="shared" si="7"/>
        <v>0</v>
      </c>
      <c r="O21" s="110">
        <f t="shared" si="7"/>
        <v>0</v>
      </c>
      <c r="P21" s="110">
        <f t="shared" si="7"/>
        <v>0</v>
      </c>
      <c r="Q21" s="110">
        <f t="shared" si="7"/>
        <v>0</v>
      </c>
      <c r="R21" s="110">
        <f t="shared" si="7"/>
        <v>0</v>
      </c>
      <c r="S21" s="110">
        <f t="shared" si="7"/>
        <v>0</v>
      </c>
      <c r="T21" s="110">
        <f t="shared" si="7"/>
        <v>10.08</v>
      </c>
      <c r="U21" s="110">
        <f t="shared" si="7"/>
        <v>0</v>
      </c>
      <c r="V21" s="110">
        <f t="shared" si="7"/>
        <v>48.08</v>
      </c>
      <c r="W21" s="110">
        <f t="shared" si="7"/>
        <v>0</v>
      </c>
      <c r="X21" s="110">
        <f t="shared" si="7"/>
        <v>26.62</v>
      </c>
      <c r="Y21" s="110">
        <f t="shared" si="7"/>
        <v>0</v>
      </c>
      <c r="Z21" s="110">
        <f t="shared" si="7"/>
        <v>36.700000000000003</v>
      </c>
      <c r="AA21" s="110">
        <f t="shared" si="7"/>
        <v>0</v>
      </c>
      <c r="AB21" s="110">
        <f t="shared" si="7"/>
        <v>36.700000000000003</v>
      </c>
      <c r="AC21" s="110">
        <f t="shared" si="7"/>
        <v>0</v>
      </c>
      <c r="AD21" s="110">
        <f t="shared" si="7"/>
        <v>19.3</v>
      </c>
      <c r="AE21" s="110">
        <f t="shared" si="7"/>
        <v>0</v>
      </c>
      <c r="AF21" s="110">
        <f t="shared" si="7"/>
        <v>59.52</v>
      </c>
      <c r="AG21" s="110">
        <f t="shared" si="7"/>
        <v>0</v>
      </c>
      <c r="AH21" s="139"/>
      <c r="AI21" s="137"/>
    </row>
    <row r="22" spans="1:35" s="53" customFormat="1" ht="42" customHeight="1" x14ac:dyDescent="0.25">
      <c r="A22" s="472"/>
      <c r="B22" s="474"/>
      <c r="C22" s="112" t="s">
        <v>21</v>
      </c>
      <c r="D22" s="113">
        <f>SUM(J22,L22,N22,P22,R22,T22,V22,X22,Z22,AB22,AD22,AF22)</f>
        <v>237.00000000000003</v>
      </c>
      <c r="E22" s="113">
        <f>J22</f>
        <v>0</v>
      </c>
      <c r="F22" s="113">
        <f>G22</f>
        <v>0</v>
      </c>
      <c r="G22" s="113">
        <f>SUM(K22,M22,O22,Q22,S22,U22,W22,Y22,AA22,AC22,AE22,AG22)</f>
        <v>0</v>
      </c>
      <c r="H22" s="113">
        <f t="shared" si="8"/>
        <v>0</v>
      </c>
      <c r="I22" s="113">
        <f t="shared" si="9"/>
        <v>0</v>
      </c>
      <c r="J22" s="114">
        <v>0</v>
      </c>
      <c r="K22" s="114">
        <v>0</v>
      </c>
      <c r="L22" s="114">
        <v>0</v>
      </c>
      <c r="M22" s="114">
        <v>0</v>
      </c>
      <c r="N22" s="114">
        <v>0</v>
      </c>
      <c r="O22" s="114">
        <v>0</v>
      </c>
      <c r="P22" s="114">
        <v>0</v>
      </c>
      <c r="Q22" s="114">
        <v>0</v>
      </c>
      <c r="R22" s="114">
        <v>0</v>
      </c>
      <c r="S22" s="114">
        <v>0</v>
      </c>
      <c r="T22" s="114">
        <v>10.08</v>
      </c>
      <c r="U22" s="114">
        <v>0</v>
      </c>
      <c r="V22" s="114">
        <v>48.08</v>
      </c>
      <c r="W22" s="114">
        <v>0</v>
      </c>
      <c r="X22" s="114">
        <v>26.62</v>
      </c>
      <c r="Y22" s="114">
        <v>0</v>
      </c>
      <c r="Z22" s="114">
        <v>36.700000000000003</v>
      </c>
      <c r="AA22" s="114">
        <v>0</v>
      </c>
      <c r="AB22" s="114">
        <v>36.700000000000003</v>
      </c>
      <c r="AC22" s="114">
        <v>0</v>
      </c>
      <c r="AD22" s="114">
        <v>19.3</v>
      </c>
      <c r="AE22" s="114">
        <v>0</v>
      </c>
      <c r="AF22" s="114">
        <v>59.52</v>
      </c>
      <c r="AG22" s="114">
        <v>0</v>
      </c>
      <c r="AH22" s="139"/>
      <c r="AI22" s="137"/>
    </row>
    <row r="23" spans="1:35" s="26" customFormat="1" ht="18.75" customHeight="1" x14ac:dyDescent="0.25">
      <c r="A23" s="132" t="s">
        <v>154</v>
      </c>
      <c r="B23" s="426" t="s">
        <v>183</v>
      </c>
      <c r="C23" s="427"/>
      <c r="D23" s="427"/>
      <c r="E23" s="427"/>
      <c r="F23" s="427"/>
      <c r="G23" s="427"/>
      <c r="H23" s="427"/>
      <c r="I23" s="427"/>
      <c r="J23" s="427"/>
      <c r="K23" s="427"/>
      <c r="L23" s="427"/>
      <c r="M23" s="427"/>
      <c r="N23" s="427"/>
      <c r="O23" s="427"/>
      <c r="P23" s="427"/>
      <c r="Q23" s="427"/>
      <c r="R23" s="427"/>
      <c r="S23" s="427"/>
      <c r="T23" s="427"/>
      <c r="U23" s="427"/>
      <c r="V23" s="427"/>
      <c r="W23" s="427"/>
      <c r="X23" s="427"/>
      <c r="Y23" s="427"/>
      <c r="Z23" s="427"/>
      <c r="AA23" s="427"/>
      <c r="AB23" s="427"/>
      <c r="AC23" s="427"/>
      <c r="AD23" s="427"/>
      <c r="AE23" s="427"/>
      <c r="AF23" s="427"/>
      <c r="AG23" s="428"/>
      <c r="AH23" s="75"/>
    </row>
    <row r="24" spans="1:35" s="21" customFormat="1" ht="82.5" customHeight="1" x14ac:dyDescent="0.25">
      <c r="A24" s="413" t="s">
        <v>163</v>
      </c>
      <c r="B24" s="475" t="s">
        <v>190</v>
      </c>
      <c r="C24" s="57" t="s">
        <v>20</v>
      </c>
      <c r="D24" s="58">
        <f>D25</f>
        <v>9140.6999999999989</v>
      </c>
      <c r="E24" s="58">
        <f t="shared" ref="E24:G26" si="10">E25</f>
        <v>1258.117</v>
      </c>
      <c r="F24" s="58">
        <f t="shared" si="10"/>
        <v>0</v>
      </c>
      <c r="G24" s="58">
        <f t="shared" si="10"/>
        <v>0</v>
      </c>
      <c r="H24" s="58">
        <f t="shared" si="2"/>
        <v>0</v>
      </c>
      <c r="I24" s="58">
        <f t="shared" si="3"/>
        <v>0</v>
      </c>
      <c r="J24" s="59">
        <f>J25</f>
        <v>1258.117</v>
      </c>
      <c r="K24" s="59">
        <f t="shared" ref="K24:AG26" si="11">K25</f>
        <v>0</v>
      </c>
      <c r="L24" s="59">
        <f t="shared" si="11"/>
        <v>761.00900000000001</v>
      </c>
      <c r="M24" s="59">
        <f t="shared" si="11"/>
        <v>0</v>
      </c>
      <c r="N24" s="59">
        <f t="shared" si="11"/>
        <v>606.82600000000002</v>
      </c>
      <c r="O24" s="59">
        <f t="shared" si="11"/>
        <v>0</v>
      </c>
      <c r="P24" s="59">
        <f t="shared" si="11"/>
        <v>884.33</v>
      </c>
      <c r="Q24" s="59">
        <f t="shared" si="11"/>
        <v>0</v>
      </c>
      <c r="R24" s="59">
        <f t="shared" si="11"/>
        <v>690.63199999999995</v>
      </c>
      <c r="S24" s="59">
        <f t="shared" si="11"/>
        <v>0</v>
      </c>
      <c r="T24" s="59">
        <f t="shared" si="11"/>
        <v>606.82600000000002</v>
      </c>
      <c r="U24" s="59">
        <f t="shared" si="11"/>
        <v>0</v>
      </c>
      <c r="V24" s="59">
        <f t="shared" si="11"/>
        <v>884.33</v>
      </c>
      <c r="W24" s="59">
        <f t="shared" si="11"/>
        <v>0</v>
      </c>
      <c r="X24" s="59">
        <f t="shared" si="11"/>
        <v>690.63199999999995</v>
      </c>
      <c r="Y24" s="59">
        <f t="shared" si="11"/>
        <v>0</v>
      </c>
      <c r="Z24" s="59">
        <f t="shared" si="11"/>
        <v>606.82600000000002</v>
      </c>
      <c r="AA24" s="59">
        <f t="shared" si="11"/>
        <v>0</v>
      </c>
      <c r="AB24" s="59">
        <f t="shared" si="11"/>
        <v>745.57799999999997</v>
      </c>
      <c r="AC24" s="59">
        <f t="shared" si="11"/>
        <v>0</v>
      </c>
      <c r="AD24" s="59">
        <f t="shared" si="11"/>
        <v>648.72900000000004</v>
      </c>
      <c r="AE24" s="59">
        <f t="shared" si="11"/>
        <v>0</v>
      </c>
      <c r="AF24" s="59">
        <f t="shared" si="11"/>
        <v>756.86500000000001</v>
      </c>
      <c r="AG24" s="59">
        <f t="shared" si="11"/>
        <v>0</v>
      </c>
      <c r="AH24" s="60"/>
      <c r="AI24" s="20"/>
    </row>
    <row r="25" spans="1:35" s="22" customFormat="1" ht="73.5" customHeight="1" x14ac:dyDescent="0.25">
      <c r="A25" s="415"/>
      <c r="B25" s="476"/>
      <c r="C25" s="61" t="s">
        <v>21</v>
      </c>
      <c r="D25" s="62">
        <f>SUM(J25,L25,N25,P25,R25,T25,V25,X25,Z25,AB25,AD25,AF25)</f>
        <v>9140.6999999999989</v>
      </c>
      <c r="E25" s="62">
        <f>J25</f>
        <v>1258.117</v>
      </c>
      <c r="F25" s="62">
        <f>G25</f>
        <v>0</v>
      </c>
      <c r="G25" s="62">
        <f>SUM(K25,M25,O25,Q25,S25,U25,W25,Y25,AA25,AC25,AE25,AG25)</f>
        <v>0</v>
      </c>
      <c r="H25" s="62">
        <f>IFERROR(G25/D25*100,0)</f>
        <v>0</v>
      </c>
      <c r="I25" s="62">
        <f>IFERROR(G25/E25*100,0)</f>
        <v>0</v>
      </c>
      <c r="J25" s="63">
        <v>1258.117</v>
      </c>
      <c r="K25" s="63">
        <v>0</v>
      </c>
      <c r="L25" s="63">
        <v>761.00900000000001</v>
      </c>
      <c r="M25" s="63">
        <v>0</v>
      </c>
      <c r="N25" s="63">
        <v>606.82600000000002</v>
      </c>
      <c r="O25" s="63">
        <v>0</v>
      </c>
      <c r="P25" s="63">
        <v>884.33</v>
      </c>
      <c r="Q25" s="63">
        <v>0</v>
      </c>
      <c r="R25" s="63">
        <v>690.63199999999995</v>
      </c>
      <c r="S25" s="63">
        <v>0</v>
      </c>
      <c r="T25" s="63">
        <v>606.82600000000002</v>
      </c>
      <c r="U25" s="63">
        <v>0</v>
      </c>
      <c r="V25" s="63">
        <v>884.33</v>
      </c>
      <c r="W25" s="63">
        <v>0</v>
      </c>
      <c r="X25" s="63">
        <v>690.63199999999995</v>
      </c>
      <c r="Y25" s="63">
        <v>0</v>
      </c>
      <c r="Z25" s="63">
        <v>606.82600000000002</v>
      </c>
      <c r="AA25" s="63">
        <v>0</v>
      </c>
      <c r="AB25" s="63">
        <v>745.57799999999997</v>
      </c>
      <c r="AC25" s="63">
        <v>0</v>
      </c>
      <c r="AD25" s="63">
        <v>648.72900000000004</v>
      </c>
      <c r="AE25" s="63">
        <v>0</v>
      </c>
      <c r="AF25" s="63">
        <v>756.86500000000001</v>
      </c>
      <c r="AG25" s="63">
        <v>0</v>
      </c>
      <c r="AH25" s="64"/>
      <c r="AI25" s="20"/>
    </row>
    <row r="26" spans="1:35" s="131" customFormat="1" ht="82.5" customHeight="1" x14ac:dyDescent="0.25">
      <c r="A26" s="413" t="s">
        <v>156</v>
      </c>
      <c r="B26" s="361" t="s">
        <v>191</v>
      </c>
      <c r="C26" s="57" t="s">
        <v>20</v>
      </c>
      <c r="D26" s="58">
        <f>D27</f>
        <v>39622.498</v>
      </c>
      <c r="E26" s="58">
        <f t="shared" si="10"/>
        <v>3107.2289999999998</v>
      </c>
      <c r="F26" s="58">
        <f t="shared" si="10"/>
        <v>0</v>
      </c>
      <c r="G26" s="58">
        <f t="shared" si="10"/>
        <v>0</v>
      </c>
      <c r="H26" s="58">
        <f>IFERROR(G26/D26*100,0)</f>
        <v>0</v>
      </c>
      <c r="I26" s="58">
        <f>IFERROR(G26/E26*100,0)</f>
        <v>0</v>
      </c>
      <c r="J26" s="59">
        <f>J27</f>
        <v>3107.2289999999998</v>
      </c>
      <c r="K26" s="59">
        <f t="shared" si="11"/>
        <v>0</v>
      </c>
      <c r="L26" s="59">
        <f t="shared" si="11"/>
        <v>3173.777</v>
      </c>
      <c r="M26" s="59">
        <f t="shared" si="11"/>
        <v>0</v>
      </c>
      <c r="N26" s="59">
        <f t="shared" si="11"/>
        <v>3311.1770000000001</v>
      </c>
      <c r="O26" s="59">
        <f t="shared" si="11"/>
        <v>0</v>
      </c>
      <c r="P26" s="59">
        <f t="shared" si="11"/>
        <v>3783.3470000000002</v>
      </c>
      <c r="Q26" s="59">
        <f t="shared" si="11"/>
        <v>0</v>
      </c>
      <c r="R26" s="59">
        <f t="shared" si="11"/>
        <v>3512.1559999999999</v>
      </c>
      <c r="S26" s="59">
        <f t="shared" si="11"/>
        <v>0</v>
      </c>
      <c r="T26" s="59">
        <f t="shared" si="11"/>
        <v>3528.9769999999999</v>
      </c>
      <c r="U26" s="59">
        <f t="shared" si="11"/>
        <v>0</v>
      </c>
      <c r="V26" s="59">
        <f t="shared" si="11"/>
        <v>3393.5529999999999</v>
      </c>
      <c r="W26" s="59">
        <f t="shared" si="11"/>
        <v>0</v>
      </c>
      <c r="X26" s="59">
        <f t="shared" si="11"/>
        <v>3328.777</v>
      </c>
      <c r="Y26" s="59">
        <f t="shared" si="11"/>
        <v>0</v>
      </c>
      <c r="Z26" s="59">
        <f t="shared" si="11"/>
        <v>2988.777</v>
      </c>
      <c r="AA26" s="59">
        <f t="shared" si="11"/>
        <v>0</v>
      </c>
      <c r="AB26" s="59">
        <f t="shared" si="11"/>
        <v>3102.4340000000002</v>
      </c>
      <c r="AC26" s="59">
        <f t="shared" si="11"/>
        <v>0</v>
      </c>
      <c r="AD26" s="59">
        <f t="shared" si="11"/>
        <v>2958.377</v>
      </c>
      <c r="AE26" s="59">
        <f t="shared" si="11"/>
        <v>0</v>
      </c>
      <c r="AF26" s="59">
        <f t="shared" si="11"/>
        <v>3433.9169999999999</v>
      </c>
      <c r="AG26" s="59">
        <f t="shared" si="11"/>
        <v>0</v>
      </c>
      <c r="AH26" s="60"/>
      <c r="AI26" s="19"/>
    </row>
    <row r="27" spans="1:35" s="18" customFormat="1" ht="73.5" customHeight="1" x14ac:dyDescent="0.25">
      <c r="A27" s="415"/>
      <c r="B27" s="363"/>
      <c r="C27" s="61" t="s">
        <v>21</v>
      </c>
      <c r="D27" s="62">
        <f>SUM(J27,L27,N27,P27,R27,T27,V27,X27,Z27,AB27,AD27,AF27)</f>
        <v>39622.498</v>
      </c>
      <c r="E27" s="62">
        <f>J27</f>
        <v>3107.2289999999998</v>
      </c>
      <c r="F27" s="62">
        <f>G27</f>
        <v>0</v>
      </c>
      <c r="G27" s="62">
        <f>SUM(K27,M27,O27,Q27,S27,U27,W27,Y27,AA27,AC27,AE27,AG27)</f>
        <v>0</v>
      </c>
      <c r="H27" s="62">
        <f>IFERROR(G27/D27*100,0)</f>
        <v>0</v>
      </c>
      <c r="I27" s="62">
        <f>IFERROR(G27/E27*100,0)</f>
        <v>0</v>
      </c>
      <c r="J27" s="63">
        <v>3107.2289999999998</v>
      </c>
      <c r="K27" s="63">
        <v>0</v>
      </c>
      <c r="L27" s="63">
        <v>3173.777</v>
      </c>
      <c r="M27" s="63">
        <v>0</v>
      </c>
      <c r="N27" s="63">
        <v>3311.1770000000001</v>
      </c>
      <c r="O27" s="63">
        <v>0</v>
      </c>
      <c r="P27" s="63">
        <v>3783.3470000000002</v>
      </c>
      <c r="Q27" s="63">
        <v>0</v>
      </c>
      <c r="R27" s="63">
        <v>3512.1559999999999</v>
      </c>
      <c r="S27" s="63">
        <v>0</v>
      </c>
      <c r="T27" s="63">
        <v>3528.9769999999999</v>
      </c>
      <c r="U27" s="63">
        <v>0</v>
      </c>
      <c r="V27" s="63">
        <v>3393.5529999999999</v>
      </c>
      <c r="W27" s="63">
        <v>0</v>
      </c>
      <c r="X27" s="63">
        <v>3328.777</v>
      </c>
      <c r="Y27" s="63">
        <v>0</v>
      </c>
      <c r="Z27" s="63">
        <v>2988.777</v>
      </c>
      <c r="AA27" s="63">
        <v>0</v>
      </c>
      <c r="AB27" s="63">
        <v>3102.4340000000002</v>
      </c>
      <c r="AC27" s="63">
        <v>0</v>
      </c>
      <c r="AD27" s="63">
        <v>2958.377</v>
      </c>
      <c r="AE27" s="63">
        <v>0</v>
      </c>
      <c r="AF27" s="63">
        <v>3433.9169999999999</v>
      </c>
      <c r="AG27" s="63">
        <v>0</v>
      </c>
      <c r="AH27" s="64"/>
      <c r="AI27" s="19"/>
    </row>
    <row r="28" spans="1:35" s="10" customFormat="1" x14ac:dyDescent="0.25">
      <c r="C28" s="17"/>
    </row>
  </sheetData>
  <customSheetViews>
    <customSheetView guid="{2940A182-D1A7-43C5-8D6E-965BED4371B0}" scale="80" state="hidden">
      <pane xSplit="6" ySplit="7" topLeftCell="G8" activePane="bottomRight" state="frozen"/>
      <selection pane="bottomRight" activeCell="D12" sqref="D12"/>
      <pageMargins left="0.7" right="0.7" top="0.75" bottom="0.75" header="0.3" footer="0.3"/>
      <pageSetup paperSize="9" orientation="portrait" r:id="rId1"/>
    </customSheetView>
    <customSheetView guid="{BBF6B43F-E0FC-43DF-B91C-674F6AB4B556}" scale="80">
      <pane xSplit="6" ySplit="7" topLeftCell="G8" activePane="bottomRight" state="frozen"/>
      <selection pane="bottomRight" activeCell="D12" sqref="D12"/>
      <pageMargins left="0.7" right="0.7" top="0.75" bottom="0.75" header="0.3" footer="0.3"/>
      <pageSetup paperSize="9" orientation="portrait" r:id="rId2"/>
    </customSheetView>
    <customSheetView guid="{30B635D9-57DB-47D5-8A0F-4B30DD769960}" scale="80">
      <pane xSplit="6" ySplit="7" topLeftCell="G8" activePane="bottomRight" state="frozen"/>
      <selection pane="bottomRight" activeCell="D12" sqref="D12"/>
      <pageMargins left="0.7" right="0.7" top="0.75" bottom="0.75" header="0.3" footer="0.3"/>
      <pageSetup paperSize="9" orientation="portrait" r:id="rId3"/>
    </customSheetView>
    <customSheetView guid="{DAEDC989-02E7-4319-8354-59410ACF3F1F}" scale="80">
      <pane xSplit="6" ySplit="7" topLeftCell="G8" activePane="bottomRight" state="frozen"/>
      <selection pane="bottomRight" activeCell="D12" sqref="D12"/>
      <pageMargins left="0.7" right="0.7" top="0.75" bottom="0.75" header="0.3" footer="0.3"/>
      <pageSetup paperSize="9" orientation="portrait" r:id="rId4"/>
    </customSheetView>
    <customSheetView guid="{21E1D423-7B38-4272-8354-09B4DB62C9EB}" scale="80">
      <pane xSplit="6" ySplit="7" topLeftCell="G8" activePane="bottomRight" state="frozen"/>
      <selection pane="bottomRight" activeCell="D12" sqref="D12"/>
      <pageMargins left="0.7" right="0.7" top="0.75" bottom="0.75" header="0.3" footer="0.3"/>
      <pageSetup paperSize="9" orientation="portrait" r:id="rId5"/>
    </customSheetView>
    <customSheetView guid="{EA46B61D-849C-4795-A4FF-F8F1740022EB}" scale="80">
      <pane xSplit="6" ySplit="7" topLeftCell="G8" activePane="bottomRight" state="frozen"/>
      <selection pane="bottomRight" activeCell="D12" sqref="D12"/>
      <pageMargins left="0.7" right="0.7" top="0.75" bottom="0.75" header="0.3" footer="0.3"/>
      <pageSetup paperSize="9" orientation="portrait" r:id="rId6"/>
    </customSheetView>
    <customSheetView guid="{A0E2FBF6-E560-4343-8BE6-217DC798135B}" scale="80">
      <pane xSplit="6" ySplit="7" topLeftCell="G8" activePane="bottomRight" state="frozen"/>
      <selection pane="bottomRight" activeCell="D12" sqref="D12"/>
      <pageMargins left="0.7" right="0.7" top="0.75" bottom="0.75" header="0.3" footer="0.3"/>
      <pageSetup paperSize="9" orientation="portrait" r:id="rId7"/>
    </customSheetView>
    <customSheetView guid="{20A05A62-CBE8-4538-BBC3-2AD9D3B8FAC0}" scale="80">
      <pane xSplit="6" ySplit="7" topLeftCell="G8" activePane="bottomRight" state="frozen"/>
      <selection pane="bottomRight" activeCell="D12" sqref="D12"/>
      <pageMargins left="0.7" right="0.7" top="0.75" bottom="0.75" header="0.3" footer="0.3"/>
      <pageSetup paperSize="9" orientation="portrait" r:id="rId8"/>
    </customSheetView>
    <customSheetView guid="{A4AF2100-C59D-4F60-9EAB-56D9103463F7}" scale="80">
      <pane xSplit="6" ySplit="7" topLeftCell="G8" activePane="bottomRight" state="frozen"/>
      <selection pane="bottomRight" activeCell="D12" sqref="D12"/>
      <pageMargins left="0.7" right="0.7" top="0.75" bottom="0.75" header="0.3" footer="0.3"/>
      <pageSetup paperSize="9" orientation="portrait" r:id="rId9"/>
    </customSheetView>
    <customSheetView guid="{AB9978E4-895D-4050-8F07-2484E22632D1}" scale="80">
      <pane xSplit="6" ySplit="7" topLeftCell="G8" activePane="bottomRight" state="frozen"/>
      <selection pane="bottomRight" activeCell="D12" sqref="D12"/>
      <pageMargins left="0.7" right="0.7" top="0.75" bottom="0.75" header="0.3" footer="0.3"/>
      <pageSetup paperSize="9" orientation="portrait" r:id="rId10"/>
    </customSheetView>
    <customSheetView guid="{519948E4-0B24-465F-9D9E-44BE50D1D647}" scale="80">
      <pane xSplit="6" ySplit="7" topLeftCell="G8" activePane="bottomRight" state="frozen"/>
      <selection pane="bottomRight" activeCell="D12" sqref="D12"/>
      <pageMargins left="0.7" right="0.7" top="0.75" bottom="0.75" header="0.3" footer="0.3"/>
      <pageSetup paperSize="9" orientation="portrait" r:id="rId11"/>
    </customSheetView>
    <customSheetView guid="{C7DC638A-7F60-46C9-A1FB-9ADEAE87F332}" scale="80">
      <pane xSplit="6" ySplit="7" topLeftCell="G8" activePane="bottomRight" state="frozen"/>
      <selection pane="bottomRight" activeCell="D12" sqref="D12"/>
      <pageMargins left="0.7" right="0.7" top="0.75" bottom="0.75" header="0.3" footer="0.3"/>
      <pageSetup paperSize="9" orientation="portrait" r:id="rId12"/>
    </customSheetView>
    <customSheetView guid="{2A5A11D4-90C6-4A3E-8165-7D7BD634B22F}" scale="80">
      <pane xSplit="6" ySplit="7" topLeftCell="G8" activePane="bottomRight" state="frozen"/>
      <selection pane="bottomRight" activeCell="D12" sqref="D12"/>
      <pageMargins left="0.7" right="0.7" top="0.75" bottom="0.75" header="0.3" footer="0.3"/>
      <pageSetup paperSize="9" orientation="portrait" r:id="rId13"/>
    </customSheetView>
    <customSheetView guid="{562453CE-35F5-40A3-AD14-6399D1197C99}" scale="80">
      <pane xSplit="6" ySplit="7" topLeftCell="G8" activePane="bottomRight" state="frozen"/>
      <selection pane="bottomRight" activeCell="D12" sqref="D12"/>
      <pageMargins left="0.7" right="0.7" top="0.75" bottom="0.75" header="0.3" footer="0.3"/>
      <pageSetup paperSize="9" orientation="portrait" r:id="rId14"/>
    </customSheetView>
    <customSheetView guid="{B6B60ED6-A6CC-4DA7-A8CA-5E6DB52D5A87}" scale="80">
      <pane xSplit="6" ySplit="7" topLeftCell="G8" activePane="bottomRight" state="frozen"/>
      <selection pane="bottomRight" activeCell="D12" sqref="D12"/>
      <pageMargins left="0.7" right="0.7" top="0.75" bottom="0.75" header="0.3" footer="0.3"/>
      <pageSetup paperSize="9" orientation="portrait" r:id="rId15"/>
    </customSheetView>
    <customSheetView guid="{133BB3F8-8DD4-4AEF-8CD6-A5FB14681329}" scale="80">
      <pane xSplit="6" ySplit="7" topLeftCell="G8" activePane="bottomRight" state="frozen"/>
      <selection pane="bottomRight" activeCell="D12" sqref="D12"/>
      <pageMargins left="0.7" right="0.7" top="0.75" bottom="0.75" header="0.3" footer="0.3"/>
      <pageSetup paperSize="9" orientation="portrait" r:id="rId16"/>
    </customSheetView>
    <customSheetView guid="{5DF2C78B-5EE4-439D-8D72-8D3A913B65F9}" scale="80">
      <pane xSplit="6" ySplit="7" topLeftCell="G8" activePane="bottomRight" state="frozen"/>
      <selection pane="bottomRight" activeCell="D12" sqref="D12"/>
      <pageMargins left="0.7" right="0.7" top="0.75" bottom="0.75" header="0.3" footer="0.3"/>
      <pageSetup paperSize="9" orientation="portrait" r:id="rId17"/>
    </customSheetView>
    <customSheetView guid="{60A1F930-4BEC-460A-8E14-01E47F6DD055}" scale="80">
      <pane xSplit="6" ySplit="7" topLeftCell="G8" activePane="bottomRight" state="frozen"/>
      <selection pane="bottomRight" activeCell="D12" sqref="D12"/>
      <pageMargins left="0.7" right="0.7" top="0.75" bottom="0.75" header="0.3" footer="0.3"/>
      <pageSetup paperSize="9" orientation="portrait" r:id="rId18"/>
    </customSheetView>
    <customSheetView guid="{7C5A2A36-3D69-43D9-9018-A52C27EC78F9}" scale="80">
      <pane xSplit="6" ySplit="7" topLeftCell="G8" activePane="bottomRight" state="frozen"/>
      <selection pane="bottomRight" activeCell="D12" sqref="D12"/>
      <pageMargins left="0.7" right="0.7" top="0.75" bottom="0.75" header="0.3" footer="0.3"/>
      <pageSetup paperSize="9" orientation="portrait" r:id="rId19"/>
    </customSheetView>
    <customSheetView guid="{C282AA4E-1BB5-4296-9AC6-844C0F88E5FC}" scale="80">
      <pane xSplit="6" ySplit="7" topLeftCell="G8" activePane="bottomRight" state="frozen"/>
      <selection pane="bottomRight" activeCell="D12" sqref="D12"/>
      <pageMargins left="0.7" right="0.7" top="0.75" bottom="0.75" header="0.3" footer="0.3"/>
      <pageSetup paperSize="9" orientation="portrait" r:id="rId20"/>
    </customSheetView>
    <customSheetView guid="{996EC2F0-F6EC-4E63-A83E-34865157BD8D}" scale="80">
      <pane xSplit="6" ySplit="7" topLeftCell="G8" activePane="bottomRight" state="frozen"/>
      <selection pane="bottomRight" activeCell="D12" sqref="D12"/>
      <pageMargins left="0.7" right="0.7" top="0.75" bottom="0.75" header="0.3" footer="0.3"/>
      <pageSetup paperSize="9" orientation="portrait" r:id="rId21"/>
    </customSheetView>
    <customSheetView guid="{AFADB96A-0516-43C1-9F1B-0604F3CAC04A}" scale="80">
      <pane xSplit="6" ySplit="7" topLeftCell="G8" activePane="bottomRight" state="frozen"/>
      <selection pane="bottomRight" activeCell="D12" sqref="D12"/>
      <pageMargins left="0.7" right="0.7" top="0.75" bottom="0.75" header="0.3" footer="0.3"/>
      <pageSetup paperSize="9" orientation="portrait" r:id="rId22"/>
    </customSheetView>
  </customSheetViews>
  <mergeCells count="43">
    <mergeCell ref="R4:S5"/>
    <mergeCell ref="T4:U5"/>
    <mergeCell ref="C2:S2"/>
    <mergeCell ref="C3:S3"/>
    <mergeCell ref="A4:A6"/>
    <mergeCell ref="B4:B6"/>
    <mergeCell ref="C4:C6"/>
    <mergeCell ref="D4:D5"/>
    <mergeCell ref="E4:E5"/>
    <mergeCell ref="F4:F5"/>
    <mergeCell ref="G4:G5"/>
    <mergeCell ref="H4:I5"/>
    <mergeCell ref="AH4:AH6"/>
    <mergeCell ref="A8:A9"/>
    <mergeCell ref="B8:B9"/>
    <mergeCell ref="B10:AG10"/>
    <mergeCell ref="A11:A12"/>
    <mergeCell ref="B11:B12"/>
    <mergeCell ref="V4:W5"/>
    <mergeCell ref="X4:Y5"/>
    <mergeCell ref="Z4:AA5"/>
    <mergeCell ref="AB4:AC5"/>
    <mergeCell ref="AD4:AE5"/>
    <mergeCell ref="AF4:AG5"/>
    <mergeCell ref="J4:K5"/>
    <mergeCell ref="L4:M5"/>
    <mergeCell ref="N4:O5"/>
    <mergeCell ref="P4:Q5"/>
    <mergeCell ref="A13:A14"/>
    <mergeCell ref="B13:B14"/>
    <mergeCell ref="A15:A16"/>
    <mergeCell ref="B15:B16"/>
    <mergeCell ref="A17:A18"/>
    <mergeCell ref="B17:B18"/>
    <mergeCell ref="A26:A27"/>
    <mergeCell ref="B26:B27"/>
    <mergeCell ref="A19:A20"/>
    <mergeCell ref="B19:B20"/>
    <mergeCell ref="A21:A22"/>
    <mergeCell ref="B21:B22"/>
    <mergeCell ref="B23:AG23"/>
    <mergeCell ref="A24:A25"/>
    <mergeCell ref="B24:B25"/>
  </mergeCells>
  <pageMargins left="0.7" right="0.7" top="0.75" bottom="0.75" header="0.3" footer="0.3"/>
  <pageSetup paperSize="9" orientation="portrait" r:id="rId2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16"/>
  <sheetViews>
    <sheetView zoomScale="80" zoomScaleNormal="80" workbookViewId="0">
      <pane xSplit="6" ySplit="7" topLeftCell="G8" activePane="bottomRight" state="frozen"/>
      <selection pane="topRight" activeCell="G1" sqref="G1"/>
      <selection pane="bottomLeft" activeCell="A8" sqref="A8"/>
      <selection pane="bottomRight" activeCell="J31" sqref="J31"/>
    </sheetView>
  </sheetViews>
  <sheetFormatPr defaultColWidth="9.140625" defaultRowHeight="15" x14ac:dyDescent="0.25"/>
  <cols>
    <col min="1" max="1" width="6.5703125" style="8" customWidth="1"/>
    <col min="2" max="2" width="46.28515625" style="8" customWidth="1"/>
    <col min="3" max="3" width="18.5703125" style="9" customWidth="1"/>
    <col min="4" max="4" width="18" style="8" customWidth="1"/>
    <col min="5" max="5" width="14.7109375" style="8" customWidth="1"/>
    <col min="6" max="6" width="17.140625" style="8" customWidth="1"/>
    <col min="7" max="7" width="17.85546875" style="8" customWidth="1"/>
    <col min="8" max="8" width="12.140625" style="8" customWidth="1"/>
    <col min="9" max="9" width="10.85546875" style="8" customWidth="1"/>
    <col min="10" max="10" width="14.28515625" style="8" customWidth="1"/>
    <col min="11" max="11" width="13.5703125" style="8" customWidth="1"/>
    <col min="12" max="12" width="13.85546875" style="8" customWidth="1"/>
    <col min="13" max="13" width="13" style="8" customWidth="1"/>
    <col min="14" max="14" width="13.42578125" style="8" customWidth="1"/>
    <col min="15" max="15" width="11.5703125" style="8" customWidth="1"/>
    <col min="16" max="16" width="13.4257812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3.5703125" style="8" customWidth="1"/>
    <col min="27" max="27" width="11.5703125" style="8" customWidth="1"/>
    <col min="28" max="28" width="13" style="8" customWidth="1"/>
    <col min="29" max="29" width="11.5703125" style="8" customWidth="1"/>
    <col min="30" max="30" width="13.42578125" style="8" customWidth="1"/>
    <col min="31" max="33" width="11.5703125" style="8" customWidth="1"/>
    <col min="34" max="34" width="38.5703125" style="8" customWidth="1"/>
    <col min="35" max="16384" width="9.140625" style="8"/>
  </cols>
  <sheetData>
    <row r="1" spans="1:35" ht="23.25" customHeight="1" x14ac:dyDescent="0.25">
      <c r="C1" s="1"/>
      <c r="D1" s="2"/>
      <c r="E1" s="2"/>
      <c r="F1" s="2"/>
      <c r="G1" s="2"/>
      <c r="H1" s="2"/>
      <c r="I1" s="2"/>
      <c r="J1" s="3"/>
      <c r="K1" s="3"/>
      <c r="L1" s="3"/>
      <c r="M1" s="3"/>
      <c r="N1" s="3"/>
      <c r="O1" s="3"/>
      <c r="P1" s="3"/>
      <c r="Q1" s="3"/>
      <c r="R1" s="3"/>
      <c r="S1" s="3"/>
      <c r="T1" s="3"/>
      <c r="U1" s="3"/>
      <c r="V1" s="5"/>
      <c r="W1" s="5"/>
      <c r="X1" s="5"/>
      <c r="Y1" s="5"/>
      <c r="Z1" s="5"/>
      <c r="AA1" s="5"/>
      <c r="AB1" s="5"/>
      <c r="AC1" s="5"/>
      <c r="AD1" s="6"/>
      <c r="AE1" s="6"/>
      <c r="AF1" s="6"/>
      <c r="AG1" s="3"/>
      <c r="AH1" s="7"/>
    </row>
    <row r="2" spans="1:35" ht="15.75" x14ac:dyDescent="0.25">
      <c r="A2" s="92"/>
      <c r="B2" s="92"/>
      <c r="C2" s="346" t="s">
        <v>24</v>
      </c>
      <c r="D2" s="346"/>
      <c r="E2" s="346"/>
      <c r="F2" s="346"/>
      <c r="G2" s="346"/>
      <c r="H2" s="346"/>
      <c r="I2" s="346"/>
      <c r="J2" s="346"/>
      <c r="K2" s="346"/>
      <c r="L2" s="346"/>
      <c r="M2" s="346"/>
      <c r="N2" s="346"/>
      <c r="O2" s="346"/>
      <c r="P2" s="346"/>
      <c r="Q2" s="346"/>
      <c r="R2" s="346"/>
      <c r="S2" s="346"/>
      <c r="T2" s="93"/>
      <c r="U2" s="93"/>
      <c r="V2" s="93"/>
      <c r="W2" s="93"/>
      <c r="X2" s="93"/>
      <c r="Y2" s="93"/>
      <c r="Z2" s="93"/>
      <c r="AA2" s="93"/>
      <c r="AB2" s="93"/>
      <c r="AC2" s="93"/>
      <c r="AD2" s="93"/>
      <c r="AE2" s="93"/>
      <c r="AF2" s="93"/>
      <c r="AG2" s="93"/>
      <c r="AH2" s="93"/>
    </row>
    <row r="3" spans="1:35" ht="36.75" customHeight="1" x14ac:dyDescent="0.25">
      <c r="A3" s="92"/>
      <c r="B3" s="92"/>
      <c r="C3" s="347" t="s">
        <v>45</v>
      </c>
      <c r="D3" s="347"/>
      <c r="E3" s="347"/>
      <c r="F3" s="347"/>
      <c r="G3" s="347"/>
      <c r="H3" s="347"/>
      <c r="I3" s="347"/>
      <c r="J3" s="347"/>
      <c r="K3" s="347"/>
      <c r="L3" s="347"/>
      <c r="M3" s="347"/>
      <c r="N3" s="347"/>
      <c r="O3" s="347"/>
      <c r="P3" s="347"/>
      <c r="Q3" s="347"/>
      <c r="R3" s="347"/>
      <c r="S3" s="347"/>
      <c r="T3" s="94"/>
      <c r="U3" s="94"/>
      <c r="V3" s="94"/>
      <c r="W3" s="94"/>
      <c r="X3" s="94"/>
      <c r="Y3" s="94"/>
      <c r="Z3" s="94"/>
      <c r="AA3" s="94"/>
      <c r="AB3" s="94"/>
      <c r="AC3" s="94"/>
      <c r="AD3" s="95"/>
      <c r="AE3" s="95"/>
      <c r="AF3" s="95"/>
      <c r="AG3" s="37" t="s">
        <v>0</v>
      </c>
      <c r="AH3" s="95"/>
    </row>
    <row r="4" spans="1:35" s="10" customFormat="1" ht="15" customHeight="1" x14ac:dyDescent="0.25">
      <c r="A4" s="348" t="s">
        <v>26</v>
      </c>
      <c r="B4" s="351" t="s">
        <v>29</v>
      </c>
      <c r="C4" s="351" t="s">
        <v>30</v>
      </c>
      <c r="D4" s="359"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10" customFormat="1" ht="39" customHeight="1" x14ac:dyDescent="0.25">
      <c r="A5" s="349"/>
      <c r="B5" s="352"/>
      <c r="C5" s="352"/>
      <c r="D5" s="360"/>
      <c r="E5" s="360"/>
      <c r="F5" s="360"/>
      <c r="G5" s="360"/>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5" s="10" customFormat="1" ht="64.5" customHeight="1" x14ac:dyDescent="0.25">
      <c r="A6" s="350"/>
      <c r="B6" s="353"/>
      <c r="C6" s="353"/>
      <c r="D6" s="38">
        <v>2025</v>
      </c>
      <c r="E6" s="39">
        <v>45748</v>
      </c>
      <c r="F6" s="39">
        <v>45748</v>
      </c>
      <c r="G6" s="39">
        <v>45748</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10" customFormat="1" ht="15.75" x14ac:dyDescent="0.25">
      <c r="A7" s="56">
        <v>1</v>
      </c>
      <c r="B7" s="56">
        <v>2</v>
      </c>
      <c r="C7" s="56">
        <v>3</v>
      </c>
      <c r="D7" s="56">
        <v>4</v>
      </c>
      <c r="E7" s="56">
        <v>5</v>
      </c>
      <c r="F7" s="56">
        <v>6</v>
      </c>
      <c r="G7" s="56">
        <v>7</v>
      </c>
      <c r="H7" s="56">
        <v>8</v>
      </c>
      <c r="I7" s="56">
        <v>9</v>
      </c>
      <c r="J7" s="56">
        <v>10</v>
      </c>
      <c r="K7" s="56">
        <v>11</v>
      </c>
      <c r="L7" s="56">
        <v>12</v>
      </c>
      <c r="M7" s="56">
        <v>13</v>
      </c>
      <c r="N7" s="56">
        <v>14</v>
      </c>
      <c r="O7" s="56">
        <v>15</v>
      </c>
      <c r="P7" s="56">
        <v>16</v>
      </c>
      <c r="Q7" s="56">
        <v>17</v>
      </c>
      <c r="R7" s="56">
        <v>18</v>
      </c>
      <c r="S7" s="56">
        <v>19</v>
      </c>
      <c r="T7" s="56">
        <v>20</v>
      </c>
      <c r="U7" s="56">
        <v>21</v>
      </c>
      <c r="V7" s="56">
        <v>22</v>
      </c>
      <c r="W7" s="56">
        <v>23</v>
      </c>
      <c r="X7" s="56">
        <v>24</v>
      </c>
      <c r="Y7" s="56">
        <v>25</v>
      </c>
      <c r="Z7" s="56">
        <v>26</v>
      </c>
      <c r="AA7" s="56">
        <v>27</v>
      </c>
      <c r="AB7" s="56">
        <v>28</v>
      </c>
      <c r="AC7" s="56">
        <v>29</v>
      </c>
      <c r="AD7" s="56">
        <v>30</v>
      </c>
      <c r="AE7" s="56">
        <v>31</v>
      </c>
      <c r="AF7" s="56">
        <v>32</v>
      </c>
      <c r="AG7" s="56">
        <v>33</v>
      </c>
      <c r="AH7" s="56">
        <v>34</v>
      </c>
    </row>
    <row r="8" spans="1:35" s="21" customFormat="1" ht="31.5" customHeight="1" x14ac:dyDescent="0.25">
      <c r="A8" s="413"/>
      <c r="B8" s="361" t="s">
        <v>23</v>
      </c>
      <c r="C8" s="57" t="s">
        <v>20</v>
      </c>
      <c r="D8" s="58">
        <f>D9+D10</f>
        <v>4879.4989999999998</v>
      </c>
      <c r="E8" s="58">
        <f t="shared" ref="E8:G8" si="0">E9+E10</f>
        <v>25.454000000000001</v>
      </c>
      <c r="F8" s="58">
        <f t="shared" si="0"/>
        <v>23.96</v>
      </c>
      <c r="G8" s="58">
        <f t="shared" si="0"/>
        <v>23.96</v>
      </c>
      <c r="H8" s="58">
        <f>IFERROR(G8/D8*100,0)</f>
        <v>0.49103401804160629</v>
      </c>
      <c r="I8" s="58">
        <f>IFERROR(G8/E8*100,0)</f>
        <v>94.130588512610984</v>
      </c>
      <c r="J8" s="59">
        <f>J9+J10</f>
        <v>0</v>
      </c>
      <c r="K8" s="59">
        <f t="shared" ref="K8" si="1">K9+K10</f>
        <v>0</v>
      </c>
      <c r="L8" s="59">
        <f t="shared" ref="L8" si="2">L9+L10</f>
        <v>12.727</v>
      </c>
      <c r="M8" s="59">
        <f t="shared" ref="M8" si="3">M9+M10</f>
        <v>22.46</v>
      </c>
      <c r="N8" s="59">
        <f t="shared" ref="N8" si="4">N9+N10</f>
        <v>25.454000000000001</v>
      </c>
      <c r="O8" s="59">
        <f t="shared" ref="O8" si="5">O9+O10</f>
        <v>25.46</v>
      </c>
      <c r="P8" s="59">
        <f t="shared" ref="P8" si="6">P9+P10</f>
        <v>25.454000000000001</v>
      </c>
      <c r="Q8" s="59">
        <f t="shared" ref="Q8" si="7">Q9+Q10</f>
        <v>0</v>
      </c>
      <c r="R8" s="59">
        <f t="shared" ref="R8" si="8">R9+R10</f>
        <v>25.454000000000001</v>
      </c>
      <c r="S8" s="59">
        <f t="shared" ref="S8" si="9">S9+S10</f>
        <v>0</v>
      </c>
      <c r="T8" s="59">
        <f t="shared" ref="T8" si="10">T9+T10</f>
        <v>27.254000000000001</v>
      </c>
      <c r="U8" s="59">
        <f t="shared" ref="U8" si="11">U9+U10</f>
        <v>0</v>
      </c>
      <c r="V8" s="59">
        <f t="shared" ref="V8" si="12">V9+V10</f>
        <v>27.254000000000001</v>
      </c>
      <c r="W8" s="59">
        <f t="shared" ref="W8" si="13">W9+W10</f>
        <v>0</v>
      </c>
      <c r="X8" s="59">
        <f t="shared" ref="X8" si="14">X9+X10</f>
        <v>27.254000000000001</v>
      </c>
      <c r="Y8" s="59">
        <f t="shared" ref="Y8" si="15">Y9+Y10</f>
        <v>0</v>
      </c>
      <c r="Z8" s="59">
        <f t="shared" ref="Z8" si="16">Z9+Z10</f>
        <v>27.254000000000001</v>
      </c>
      <c r="AA8" s="59">
        <f t="shared" ref="AA8" si="17">AA9+AA10</f>
        <v>0</v>
      </c>
      <c r="AB8" s="59">
        <f t="shared" ref="AB8" si="18">AB9+AB10</f>
        <v>4734.2539999999999</v>
      </c>
      <c r="AC8" s="59">
        <f t="shared" ref="AC8" si="19">AC9+AC10</f>
        <v>0</v>
      </c>
      <c r="AD8" s="59">
        <f t="shared" ref="AD8" si="20">AD9+AD10</f>
        <v>27.254000000000001</v>
      </c>
      <c r="AE8" s="59">
        <f t="shared" ref="AE8" si="21">AE9+AE10</f>
        <v>0</v>
      </c>
      <c r="AF8" s="59">
        <f t="shared" ref="AF8" si="22">AF9+AF10</f>
        <v>68.858000000000004</v>
      </c>
      <c r="AG8" s="59">
        <f t="shared" ref="AG8" si="23">AG9+AG10</f>
        <v>0</v>
      </c>
      <c r="AH8" s="60"/>
    </row>
    <row r="9" spans="1:35" s="22" customFormat="1" ht="57" customHeight="1" x14ac:dyDescent="0.25">
      <c r="A9" s="414"/>
      <c r="B9" s="362"/>
      <c r="C9" s="61" t="s">
        <v>22</v>
      </c>
      <c r="D9" s="62">
        <f>D13</f>
        <v>161.69900000000001</v>
      </c>
      <c r="E9" s="62">
        <f>E13</f>
        <v>25.454000000000001</v>
      </c>
      <c r="F9" s="62">
        <f t="shared" ref="F9:AG9" si="24">F13</f>
        <v>23.96</v>
      </c>
      <c r="G9" s="62">
        <f t="shared" si="24"/>
        <v>23.96</v>
      </c>
      <c r="H9" s="62">
        <f t="shared" ref="H9:H10" si="25">IFERROR(G9/D9*100,0)</f>
        <v>14.817655025695892</v>
      </c>
      <c r="I9" s="62">
        <f t="shared" ref="I9:I10" si="26">IFERROR(G9/E9*100,0)</f>
        <v>94.130588512610984</v>
      </c>
      <c r="J9" s="62">
        <f t="shared" si="24"/>
        <v>0</v>
      </c>
      <c r="K9" s="62">
        <f t="shared" si="24"/>
        <v>0</v>
      </c>
      <c r="L9" s="62">
        <f t="shared" si="24"/>
        <v>12.727</v>
      </c>
      <c r="M9" s="62">
        <f t="shared" si="24"/>
        <v>11.23</v>
      </c>
      <c r="N9" s="62">
        <f t="shared" si="24"/>
        <v>12.727</v>
      </c>
      <c r="O9" s="62">
        <f t="shared" si="24"/>
        <v>12.73</v>
      </c>
      <c r="P9" s="62">
        <f t="shared" si="24"/>
        <v>12.727</v>
      </c>
      <c r="Q9" s="62">
        <f t="shared" si="24"/>
        <v>0</v>
      </c>
      <c r="R9" s="62">
        <f t="shared" si="24"/>
        <v>12.727</v>
      </c>
      <c r="S9" s="62">
        <f t="shared" si="24"/>
        <v>0</v>
      </c>
      <c r="T9" s="62">
        <f t="shared" si="24"/>
        <v>12.727</v>
      </c>
      <c r="U9" s="62">
        <f t="shared" si="24"/>
        <v>0</v>
      </c>
      <c r="V9" s="62">
        <f t="shared" si="24"/>
        <v>12.727</v>
      </c>
      <c r="W9" s="62">
        <f t="shared" si="24"/>
        <v>0</v>
      </c>
      <c r="X9" s="62">
        <f t="shared" si="24"/>
        <v>12.727</v>
      </c>
      <c r="Y9" s="62">
        <f t="shared" si="24"/>
        <v>0</v>
      </c>
      <c r="Z9" s="62">
        <f t="shared" si="24"/>
        <v>12.727</v>
      </c>
      <c r="AA9" s="62">
        <f t="shared" si="24"/>
        <v>0</v>
      </c>
      <c r="AB9" s="62">
        <f t="shared" si="24"/>
        <v>12.727</v>
      </c>
      <c r="AC9" s="62">
        <f t="shared" si="24"/>
        <v>0</v>
      </c>
      <c r="AD9" s="62">
        <f t="shared" si="24"/>
        <v>12.727</v>
      </c>
      <c r="AE9" s="62">
        <f t="shared" si="24"/>
        <v>0</v>
      </c>
      <c r="AF9" s="62">
        <f t="shared" si="24"/>
        <v>34.429000000000002</v>
      </c>
      <c r="AG9" s="62">
        <f t="shared" si="24"/>
        <v>0</v>
      </c>
      <c r="AH9" s="64"/>
    </row>
    <row r="10" spans="1:35" s="22" customFormat="1" ht="38.25" customHeight="1" x14ac:dyDescent="0.25">
      <c r="A10" s="414"/>
      <c r="B10" s="362"/>
      <c r="C10" s="61" t="s">
        <v>21</v>
      </c>
      <c r="D10" s="62">
        <f>D15</f>
        <v>4717.8</v>
      </c>
      <c r="E10" s="62">
        <f t="shared" ref="E10:L10" si="27">E15</f>
        <v>0</v>
      </c>
      <c r="F10" s="62">
        <f t="shared" si="27"/>
        <v>0</v>
      </c>
      <c r="G10" s="62">
        <f t="shared" si="27"/>
        <v>0</v>
      </c>
      <c r="H10" s="62">
        <f t="shared" si="25"/>
        <v>0</v>
      </c>
      <c r="I10" s="62">
        <f t="shared" si="26"/>
        <v>0</v>
      </c>
      <c r="J10" s="62">
        <f t="shared" si="27"/>
        <v>0</v>
      </c>
      <c r="K10" s="62">
        <f t="shared" si="27"/>
        <v>0</v>
      </c>
      <c r="L10" s="62">
        <f t="shared" si="27"/>
        <v>0</v>
      </c>
      <c r="M10" s="62">
        <f t="shared" ref="M10:AG10" si="28">M13+M15</f>
        <v>11.23</v>
      </c>
      <c r="N10" s="62">
        <f t="shared" si="28"/>
        <v>12.727</v>
      </c>
      <c r="O10" s="62">
        <f t="shared" si="28"/>
        <v>12.73</v>
      </c>
      <c r="P10" s="62">
        <f t="shared" si="28"/>
        <v>12.727</v>
      </c>
      <c r="Q10" s="62">
        <f t="shared" si="28"/>
        <v>0</v>
      </c>
      <c r="R10" s="62">
        <f t="shared" si="28"/>
        <v>12.727</v>
      </c>
      <c r="S10" s="62">
        <f t="shared" si="28"/>
        <v>0</v>
      </c>
      <c r="T10" s="62">
        <f t="shared" si="28"/>
        <v>14.527000000000001</v>
      </c>
      <c r="U10" s="62">
        <f t="shared" si="28"/>
        <v>0</v>
      </c>
      <c r="V10" s="62">
        <f t="shared" si="28"/>
        <v>14.527000000000001</v>
      </c>
      <c r="W10" s="62">
        <f t="shared" si="28"/>
        <v>0</v>
      </c>
      <c r="X10" s="62">
        <f t="shared" si="28"/>
        <v>14.527000000000001</v>
      </c>
      <c r="Y10" s="62">
        <f t="shared" si="28"/>
        <v>0</v>
      </c>
      <c r="Z10" s="62">
        <f t="shared" si="28"/>
        <v>14.527000000000001</v>
      </c>
      <c r="AA10" s="62">
        <f t="shared" si="28"/>
        <v>0</v>
      </c>
      <c r="AB10" s="62">
        <f t="shared" si="28"/>
        <v>4721.527</v>
      </c>
      <c r="AC10" s="62">
        <f t="shared" si="28"/>
        <v>0</v>
      </c>
      <c r="AD10" s="62">
        <f t="shared" si="28"/>
        <v>14.527000000000001</v>
      </c>
      <c r="AE10" s="62">
        <f t="shared" si="28"/>
        <v>0</v>
      </c>
      <c r="AF10" s="62">
        <f t="shared" si="28"/>
        <v>34.429000000000002</v>
      </c>
      <c r="AG10" s="62">
        <f t="shared" si="28"/>
        <v>0</v>
      </c>
      <c r="AH10" s="64"/>
    </row>
    <row r="11" spans="1:35" s="22" customFormat="1" ht="18.75" customHeight="1" x14ac:dyDescent="0.25">
      <c r="A11" s="66"/>
      <c r="B11" s="370" t="s">
        <v>46</v>
      </c>
      <c r="C11" s="371"/>
      <c r="D11" s="371"/>
      <c r="E11" s="371"/>
      <c r="F11" s="371"/>
      <c r="G11" s="371"/>
      <c r="H11" s="371"/>
      <c r="I11" s="371"/>
      <c r="J11" s="371"/>
      <c r="K11" s="371"/>
      <c r="L11" s="371"/>
      <c r="M11" s="371"/>
      <c r="N11" s="371"/>
      <c r="O11" s="371"/>
      <c r="P11" s="371"/>
      <c r="Q11" s="371"/>
      <c r="R11" s="371"/>
      <c r="S11" s="371"/>
      <c r="T11" s="371"/>
      <c r="U11" s="371"/>
      <c r="V11" s="371"/>
      <c r="W11" s="371"/>
      <c r="X11" s="371"/>
      <c r="Y11" s="371"/>
      <c r="Z11" s="371"/>
      <c r="AA11" s="371"/>
      <c r="AB11" s="371"/>
      <c r="AC11" s="371"/>
      <c r="AD11" s="371"/>
      <c r="AE11" s="371"/>
      <c r="AF11" s="371"/>
      <c r="AG11" s="372"/>
      <c r="AH11" s="64"/>
    </row>
    <row r="12" spans="1:35" s="21" customFormat="1" ht="88.5" customHeight="1" x14ac:dyDescent="0.25">
      <c r="A12" s="413" t="s">
        <v>37</v>
      </c>
      <c r="B12" s="361" t="s">
        <v>47</v>
      </c>
      <c r="C12" s="57" t="s">
        <v>20</v>
      </c>
      <c r="D12" s="58">
        <f>D13</f>
        <v>161.69900000000001</v>
      </c>
      <c r="E12" s="58">
        <f>E13</f>
        <v>25.454000000000001</v>
      </c>
      <c r="F12" s="58">
        <f t="shared" ref="F12:G12" si="29">F13</f>
        <v>23.96</v>
      </c>
      <c r="G12" s="58">
        <f t="shared" si="29"/>
        <v>23.96</v>
      </c>
      <c r="H12" s="58">
        <f>IFERROR(G12/D12*100,0)</f>
        <v>14.817655025695892</v>
      </c>
      <c r="I12" s="58">
        <f>IFERROR(G12/E12*100,0)</f>
        <v>94.130588512610984</v>
      </c>
      <c r="J12" s="59">
        <f>J13</f>
        <v>0</v>
      </c>
      <c r="K12" s="59">
        <f t="shared" ref="K12:AG12" si="30">K13</f>
        <v>0</v>
      </c>
      <c r="L12" s="59">
        <f t="shared" si="30"/>
        <v>12.727</v>
      </c>
      <c r="M12" s="59">
        <f t="shared" si="30"/>
        <v>11.23</v>
      </c>
      <c r="N12" s="59">
        <f t="shared" si="30"/>
        <v>12.727</v>
      </c>
      <c r="O12" s="59">
        <f t="shared" si="30"/>
        <v>12.73</v>
      </c>
      <c r="P12" s="59">
        <f t="shared" si="30"/>
        <v>12.727</v>
      </c>
      <c r="Q12" s="59">
        <f t="shared" si="30"/>
        <v>0</v>
      </c>
      <c r="R12" s="59">
        <f t="shared" si="30"/>
        <v>12.727</v>
      </c>
      <c r="S12" s="59">
        <f t="shared" si="30"/>
        <v>0</v>
      </c>
      <c r="T12" s="59">
        <f t="shared" si="30"/>
        <v>12.727</v>
      </c>
      <c r="U12" s="59">
        <f t="shared" si="30"/>
        <v>0</v>
      </c>
      <c r="V12" s="59">
        <f t="shared" si="30"/>
        <v>12.727</v>
      </c>
      <c r="W12" s="59">
        <f t="shared" si="30"/>
        <v>0</v>
      </c>
      <c r="X12" s="59">
        <f t="shared" si="30"/>
        <v>12.727</v>
      </c>
      <c r="Y12" s="59">
        <f t="shared" si="30"/>
        <v>0</v>
      </c>
      <c r="Z12" s="59">
        <f t="shared" si="30"/>
        <v>12.727</v>
      </c>
      <c r="AA12" s="59">
        <f t="shared" si="30"/>
        <v>0</v>
      </c>
      <c r="AB12" s="59">
        <f t="shared" si="30"/>
        <v>12.727</v>
      </c>
      <c r="AC12" s="59">
        <f t="shared" si="30"/>
        <v>0</v>
      </c>
      <c r="AD12" s="59">
        <f t="shared" si="30"/>
        <v>12.727</v>
      </c>
      <c r="AE12" s="59">
        <f t="shared" si="30"/>
        <v>0</v>
      </c>
      <c r="AF12" s="59">
        <f t="shared" si="30"/>
        <v>34.429000000000002</v>
      </c>
      <c r="AG12" s="59">
        <f t="shared" si="30"/>
        <v>0</v>
      </c>
      <c r="AH12" s="60"/>
      <c r="AI12" s="23"/>
    </row>
    <row r="13" spans="1:35" s="21" customFormat="1" ht="105.75" customHeight="1" x14ac:dyDescent="0.25">
      <c r="A13" s="414"/>
      <c r="B13" s="362"/>
      <c r="C13" s="61" t="s">
        <v>22</v>
      </c>
      <c r="D13" s="62">
        <f>SUM(J13,L13,N13,P13,R13,T13,V13,X13,Z13,AB13,AD13,AF13)</f>
        <v>161.69900000000001</v>
      </c>
      <c r="E13" s="62">
        <f>J13+L13+N13</f>
        <v>25.454000000000001</v>
      </c>
      <c r="F13" s="62">
        <f>G13</f>
        <v>23.96</v>
      </c>
      <c r="G13" s="62">
        <f>SUM(K13,M13,O13,Q13,S13,U13,W13,Y13,AA13,AC13,AE13,AG13)</f>
        <v>23.96</v>
      </c>
      <c r="H13" s="62">
        <f>IFERROR(G13/D13*100,0)</f>
        <v>14.817655025695892</v>
      </c>
      <c r="I13" s="62">
        <f>IFERROR(G13/E13*100,0)</f>
        <v>94.130588512610984</v>
      </c>
      <c r="J13" s="63">
        <v>0</v>
      </c>
      <c r="K13" s="63">
        <v>0</v>
      </c>
      <c r="L13" s="63">
        <v>12.727</v>
      </c>
      <c r="M13" s="63">
        <v>11.23</v>
      </c>
      <c r="N13" s="63">
        <v>12.727</v>
      </c>
      <c r="O13" s="63">
        <v>12.73</v>
      </c>
      <c r="P13" s="63">
        <v>12.727</v>
      </c>
      <c r="Q13" s="63">
        <v>0</v>
      </c>
      <c r="R13" s="63">
        <v>12.727</v>
      </c>
      <c r="S13" s="63">
        <v>0</v>
      </c>
      <c r="T13" s="63">
        <v>12.727</v>
      </c>
      <c r="U13" s="63">
        <v>0</v>
      </c>
      <c r="V13" s="63">
        <v>12.727</v>
      </c>
      <c r="W13" s="63">
        <v>0</v>
      </c>
      <c r="X13" s="63">
        <v>12.727</v>
      </c>
      <c r="Y13" s="63">
        <v>0</v>
      </c>
      <c r="Z13" s="63">
        <v>12.727</v>
      </c>
      <c r="AA13" s="63">
        <v>0</v>
      </c>
      <c r="AB13" s="63">
        <v>12.727</v>
      </c>
      <c r="AC13" s="63">
        <v>0</v>
      </c>
      <c r="AD13" s="63">
        <v>12.727</v>
      </c>
      <c r="AE13" s="63">
        <v>0</v>
      </c>
      <c r="AF13" s="63">
        <v>34.429000000000002</v>
      </c>
      <c r="AG13" s="63">
        <v>0</v>
      </c>
      <c r="AH13" s="60"/>
      <c r="AI13" s="23"/>
    </row>
    <row r="14" spans="1:35" s="21" customFormat="1" ht="82.5" customHeight="1" x14ac:dyDescent="0.25">
      <c r="A14" s="413" t="s">
        <v>38</v>
      </c>
      <c r="B14" s="361" t="s">
        <v>48</v>
      </c>
      <c r="C14" s="57" t="s">
        <v>20</v>
      </c>
      <c r="D14" s="58">
        <f>D15</f>
        <v>4717.8</v>
      </c>
      <c r="E14" s="58">
        <f t="shared" ref="E14:G14" si="31">E15</f>
        <v>0</v>
      </c>
      <c r="F14" s="58">
        <f t="shared" si="31"/>
        <v>0</v>
      </c>
      <c r="G14" s="58">
        <f t="shared" si="31"/>
        <v>0</v>
      </c>
      <c r="H14" s="58">
        <f>IFERROR(G14/D14*100,0)</f>
        <v>0</v>
      </c>
      <c r="I14" s="58">
        <f>IFERROR(G14/E14*100,0)</f>
        <v>0</v>
      </c>
      <c r="J14" s="59">
        <f>J15</f>
        <v>0</v>
      </c>
      <c r="K14" s="59">
        <f t="shared" ref="K14:AG14" si="32">K15</f>
        <v>0</v>
      </c>
      <c r="L14" s="59">
        <f t="shared" si="32"/>
        <v>0</v>
      </c>
      <c r="M14" s="59">
        <f t="shared" si="32"/>
        <v>0</v>
      </c>
      <c r="N14" s="59">
        <f t="shared" si="32"/>
        <v>0</v>
      </c>
      <c r="O14" s="59">
        <f t="shared" si="32"/>
        <v>0</v>
      </c>
      <c r="P14" s="59">
        <f t="shared" si="32"/>
        <v>0</v>
      </c>
      <c r="Q14" s="59">
        <f t="shared" si="32"/>
        <v>0</v>
      </c>
      <c r="R14" s="59">
        <f t="shared" si="32"/>
        <v>0</v>
      </c>
      <c r="S14" s="59">
        <f t="shared" si="32"/>
        <v>0</v>
      </c>
      <c r="T14" s="59">
        <f t="shared" si="32"/>
        <v>1.8</v>
      </c>
      <c r="U14" s="59">
        <f t="shared" si="32"/>
        <v>0</v>
      </c>
      <c r="V14" s="59">
        <f t="shared" si="32"/>
        <v>1.8</v>
      </c>
      <c r="W14" s="59">
        <f t="shared" si="32"/>
        <v>0</v>
      </c>
      <c r="X14" s="59">
        <f t="shared" si="32"/>
        <v>1.8</v>
      </c>
      <c r="Y14" s="59">
        <f t="shared" si="32"/>
        <v>0</v>
      </c>
      <c r="Z14" s="59">
        <f t="shared" si="32"/>
        <v>1.8</v>
      </c>
      <c r="AA14" s="59">
        <f t="shared" si="32"/>
        <v>0</v>
      </c>
      <c r="AB14" s="59">
        <f t="shared" si="32"/>
        <v>4708.8</v>
      </c>
      <c r="AC14" s="59">
        <f t="shared" si="32"/>
        <v>0</v>
      </c>
      <c r="AD14" s="59">
        <f t="shared" si="32"/>
        <v>1.8</v>
      </c>
      <c r="AE14" s="59">
        <f t="shared" si="32"/>
        <v>0</v>
      </c>
      <c r="AF14" s="59">
        <f t="shared" si="32"/>
        <v>0</v>
      </c>
      <c r="AG14" s="59">
        <f t="shared" si="32"/>
        <v>0</v>
      </c>
      <c r="AH14" s="300" t="s">
        <v>347</v>
      </c>
      <c r="AI14" s="20"/>
    </row>
    <row r="15" spans="1:35" s="22" customFormat="1" ht="73.5" customHeight="1" x14ac:dyDescent="0.25">
      <c r="A15" s="415"/>
      <c r="B15" s="363"/>
      <c r="C15" s="61" t="s">
        <v>21</v>
      </c>
      <c r="D15" s="62">
        <f>SUM(J15,L15,N15,P15,R15,T15,V15,X15,Z15,AB15,AD15,AF15)</f>
        <v>4717.8</v>
      </c>
      <c r="E15" s="62">
        <f>J15+L15+N15</f>
        <v>0</v>
      </c>
      <c r="F15" s="62">
        <f>G15</f>
        <v>0</v>
      </c>
      <c r="G15" s="62">
        <f>SUM(K15,M15,O15,Q15,S15,U15,W15,Y15,AA15,AC15,AE15,AG15)</f>
        <v>0</v>
      </c>
      <c r="H15" s="62">
        <f>IFERROR(G15/D15*100,0)</f>
        <v>0</v>
      </c>
      <c r="I15" s="62">
        <f>IFERROR(G15/E15*100,0)</f>
        <v>0</v>
      </c>
      <c r="J15" s="63">
        <v>0</v>
      </c>
      <c r="K15" s="63">
        <v>0</v>
      </c>
      <c r="L15" s="63">
        <v>0</v>
      </c>
      <c r="M15" s="63">
        <v>0</v>
      </c>
      <c r="N15" s="63">
        <v>0</v>
      </c>
      <c r="O15" s="63">
        <v>0</v>
      </c>
      <c r="P15" s="63">
        <v>0</v>
      </c>
      <c r="Q15" s="63">
        <v>0</v>
      </c>
      <c r="R15" s="63">
        <v>0</v>
      </c>
      <c r="S15" s="63">
        <v>0</v>
      </c>
      <c r="T15" s="63">
        <v>1.8</v>
      </c>
      <c r="U15" s="63">
        <v>0</v>
      </c>
      <c r="V15" s="63">
        <v>1.8</v>
      </c>
      <c r="W15" s="63">
        <v>0</v>
      </c>
      <c r="X15" s="63">
        <v>1.8</v>
      </c>
      <c r="Y15" s="63">
        <v>0</v>
      </c>
      <c r="Z15" s="63">
        <v>1.8</v>
      </c>
      <c r="AA15" s="63">
        <v>0</v>
      </c>
      <c r="AB15" s="63">
        <v>4708.8</v>
      </c>
      <c r="AC15" s="63">
        <v>0</v>
      </c>
      <c r="AD15" s="63">
        <v>1.8</v>
      </c>
      <c r="AE15" s="63">
        <v>0</v>
      </c>
      <c r="AF15" s="63">
        <v>0</v>
      </c>
      <c r="AG15" s="63">
        <v>0</v>
      </c>
      <c r="AH15" s="64"/>
      <c r="AI15" s="20"/>
    </row>
    <row r="16" spans="1:35" s="10" customFormat="1" x14ac:dyDescent="0.25">
      <c r="C16" s="17"/>
    </row>
  </sheetData>
  <customSheetViews>
    <customSheetView guid="{2940A182-D1A7-43C5-8D6E-965BED4371B0}" scale="80" state="hidden">
      <pane xSplit="6" ySplit="7" topLeftCell="G8" activePane="bottomRight" state="frozen"/>
      <selection pane="bottomRight" activeCell="J31" sqref="J31"/>
      <pageMargins left="0.7" right="0.7" top="0.75" bottom="0.75" header="0.3" footer="0.3"/>
    </customSheetView>
    <customSheetView guid="{BBF6B43F-E0FC-43DF-B91C-674F6AB4B556}" scale="80">
      <pane xSplit="6" ySplit="7" topLeftCell="G8" activePane="bottomRight" state="frozen"/>
      <selection pane="bottomRight" activeCell="J31" sqref="J31"/>
      <pageMargins left="0.7" right="0.7" top="0.75" bottom="0.75" header="0.3" footer="0.3"/>
    </customSheetView>
    <customSheetView guid="{30B635D9-57DB-47D5-8A0F-4B30DD769960}" scale="80">
      <pane xSplit="6" ySplit="7" topLeftCell="G8" activePane="bottomRight" state="frozen"/>
      <selection pane="bottomRight" activeCell="J31" sqref="J31"/>
      <pageMargins left="0.7" right="0.7" top="0.75" bottom="0.75" header="0.3" footer="0.3"/>
    </customSheetView>
    <customSheetView guid="{DAEDC989-02E7-4319-8354-59410ACF3F1F}" scale="80">
      <pane xSplit="6" ySplit="7" topLeftCell="G8" activePane="bottomRight" state="frozen"/>
      <selection pane="bottomRight" activeCell="J31" sqref="J31"/>
      <pageMargins left="0.7" right="0.7" top="0.75" bottom="0.75" header="0.3" footer="0.3"/>
    </customSheetView>
    <customSheetView guid="{21E1D423-7B38-4272-8354-09B4DB62C9EB}" scale="80">
      <pane xSplit="6" ySplit="7" topLeftCell="G8" activePane="bottomRight" state="frozen"/>
      <selection pane="bottomRight" activeCell="J31" sqref="J31"/>
      <pageMargins left="0.7" right="0.7" top="0.75" bottom="0.75" header="0.3" footer="0.3"/>
    </customSheetView>
    <customSheetView guid="{EA46B61D-849C-4795-A4FF-F8F1740022EB}" scale="80">
      <pane xSplit="6" ySplit="7" topLeftCell="G8" activePane="bottomRight" state="frozen"/>
      <selection pane="bottomRight" activeCell="J31" sqref="J31"/>
      <pageMargins left="0.7" right="0.7" top="0.75" bottom="0.75" header="0.3" footer="0.3"/>
    </customSheetView>
    <customSheetView guid="{A0E2FBF6-E560-4343-8BE6-217DC798135B}" scale="80">
      <pane xSplit="6" ySplit="7" topLeftCell="G8" activePane="bottomRight" state="frozen"/>
      <selection pane="bottomRight" activeCell="J31" sqref="J31"/>
      <pageMargins left="0.7" right="0.7" top="0.75" bottom="0.75" header="0.3" footer="0.3"/>
    </customSheetView>
    <customSheetView guid="{20A05A62-CBE8-4538-BBC3-2AD9D3B8FAC0}" scale="80">
      <pane xSplit="6" ySplit="7" topLeftCell="G8" activePane="bottomRight" state="frozen"/>
      <selection pane="bottomRight" activeCell="J31" sqref="J31"/>
      <pageMargins left="0.7" right="0.7" top="0.75" bottom="0.75" header="0.3" footer="0.3"/>
    </customSheetView>
    <customSheetView guid="{A4AF2100-C59D-4F60-9EAB-56D9103463F7}" scale="80">
      <pane xSplit="6" ySplit="7" topLeftCell="G8" activePane="bottomRight" state="frozen"/>
      <selection pane="bottomRight" activeCell="J31" sqref="J31"/>
      <pageMargins left="0.7" right="0.7" top="0.75" bottom="0.75" header="0.3" footer="0.3"/>
    </customSheetView>
    <customSheetView guid="{AB9978E4-895D-4050-8F07-2484E22632D1}" scale="80">
      <pane xSplit="6" ySplit="7" topLeftCell="G8" activePane="bottomRight" state="frozen"/>
      <selection pane="bottomRight" activeCell="J31" sqref="J31"/>
      <pageMargins left="0.7" right="0.7" top="0.75" bottom="0.75" header="0.3" footer="0.3"/>
    </customSheetView>
    <customSheetView guid="{519948E4-0B24-465F-9D9E-44BE50D1D647}" scale="80">
      <pane xSplit="6" ySplit="7" topLeftCell="G8" activePane="bottomRight" state="frozen"/>
      <selection pane="bottomRight" activeCell="J31" sqref="J31"/>
      <pageMargins left="0.7" right="0.7" top="0.75" bottom="0.75" header="0.3" footer="0.3"/>
    </customSheetView>
    <customSheetView guid="{C7DC638A-7F60-46C9-A1FB-9ADEAE87F332}" scale="80">
      <pane xSplit="6" ySplit="7" topLeftCell="G8" activePane="bottomRight" state="frozen"/>
      <selection pane="bottomRight" activeCell="J31" sqref="J31"/>
      <pageMargins left="0.7" right="0.7" top="0.75" bottom="0.75" header="0.3" footer="0.3"/>
    </customSheetView>
    <customSheetView guid="{2A5A11D4-90C6-4A3E-8165-7D7BD634B22F}" scale="80">
      <pane xSplit="6" ySplit="7" topLeftCell="G8" activePane="bottomRight" state="frozen"/>
      <selection pane="bottomRight" activeCell="J31" sqref="J31"/>
      <pageMargins left="0.7" right="0.7" top="0.75" bottom="0.75" header="0.3" footer="0.3"/>
    </customSheetView>
    <customSheetView guid="{562453CE-35F5-40A3-AD14-6399D1197C99}" scale="80">
      <pane xSplit="6" ySplit="7" topLeftCell="G8" activePane="bottomRight" state="frozen"/>
      <selection pane="bottomRight" activeCell="J31" sqref="J31"/>
      <pageMargins left="0.7" right="0.7" top="0.75" bottom="0.75" header="0.3" footer="0.3"/>
    </customSheetView>
    <customSheetView guid="{B6B60ED6-A6CC-4DA7-A8CA-5E6DB52D5A87}" scale="80">
      <pane xSplit="6" ySplit="7" topLeftCell="G8" activePane="bottomRight" state="frozen"/>
      <selection pane="bottomRight" activeCell="E16" sqref="E16"/>
      <pageMargins left="0.7" right="0.7" top="0.75" bottom="0.75" header="0.3" footer="0.3"/>
    </customSheetView>
    <customSheetView guid="{133BB3F8-8DD4-4AEF-8CD6-A5FB14681329}" scale="80">
      <pane xSplit="6" ySplit="7" topLeftCell="G8" activePane="bottomRight" state="frozen"/>
      <selection pane="bottomRight" activeCell="J31" sqref="J31"/>
      <pageMargins left="0.7" right="0.7" top="0.75" bottom="0.75" header="0.3" footer="0.3"/>
    </customSheetView>
    <customSheetView guid="{5DF2C78B-5EE4-439D-8D72-8D3A913B65F9}" scale="80">
      <pane xSplit="6" ySplit="7" topLeftCell="G8" activePane="bottomRight" state="frozen"/>
      <selection pane="bottomRight" activeCell="J31" sqref="J31"/>
      <pageMargins left="0.7" right="0.7" top="0.75" bottom="0.75" header="0.3" footer="0.3"/>
    </customSheetView>
    <customSheetView guid="{60A1F930-4BEC-460A-8E14-01E47F6DD055}" scale="80">
      <pane xSplit="6" ySplit="7" topLeftCell="G8" activePane="bottomRight" state="frozen"/>
      <selection pane="bottomRight" activeCell="J31" sqref="J31"/>
      <pageMargins left="0.7" right="0.7" top="0.75" bottom="0.75" header="0.3" footer="0.3"/>
    </customSheetView>
    <customSheetView guid="{7C5A2A36-3D69-43D9-9018-A52C27EC78F9}" scale="80">
      <pane xSplit="6" ySplit="7" topLeftCell="G8" activePane="bottomRight" state="frozen"/>
      <selection pane="bottomRight" activeCell="J31" sqref="J31"/>
      <pageMargins left="0.7" right="0.7" top="0.75" bottom="0.75" header="0.3" footer="0.3"/>
    </customSheetView>
    <customSheetView guid="{C282AA4E-1BB5-4296-9AC6-844C0F88E5FC}" scale="80">
      <pane xSplit="6" ySplit="7" topLeftCell="G8" activePane="bottomRight" state="frozen"/>
      <selection pane="bottomRight" activeCell="J31" sqref="J31"/>
      <pageMargins left="0.7" right="0.7" top="0.75" bottom="0.75" header="0.3" footer="0.3"/>
    </customSheetView>
    <customSheetView guid="{996EC2F0-F6EC-4E63-A83E-34865157BD8D}" scale="80">
      <pane xSplit="6" ySplit="7" topLeftCell="G8" activePane="bottomRight" state="frozen"/>
      <selection pane="bottomRight" activeCell="J31" sqref="J31"/>
      <pageMargins left="0.7" right="0.7" top="0.75" bottom="0.75" header="0.3" footer="0.3"/>
    </customSheetView>
    <customSheetView guid="{AFADB96A-0516-43C1-9F1B-0604F3CAC04A}" scale="80">
      <pane xSplit="6" ySplit="7" topLeftCell="G8" activePane="bottomRight" state="frozen"/>
      <selection pane="bottomRight" activeCell="J31" sqref="J31"/>
      <pageMargins left="0.7" right="0.7" top="0.75" bottom="0.75" header="0.3" footer="0.3"/>
    </customSheetView>
  </customSheetViews>
  <mergeCells count="30">
    <mergeCell ref="A14:A15"/>
    <mergeCell ref="B14:B15"/>
    <mergeCell ref="AH4:AH6"/>
    <mergeCell ref="A8:A10"/>
    <mergeCell ref="B8:B10"/>
    <mergeCell ref="B11:AG11"/>
    <mergeCell ref="A12:A13"/>
    <mergeCell ref="B12:B13"/>
    <mergeCell ref="V4:W5"/>
    <mergeCell ref="X4:Y5"/>
    <mergeCell ref="Z4:AA5"/>
    <mergeCell ref="AB4:AC5"/>
    <mergeCell ref="AD4:AE5"/>
    <mergeCell ref="AF4:AG5"/>
    <mergeCell ref="J4:K5"/>
    <mergeCell ref="L4:M5"/>
    <mergeCell ref="N4:O5"/>
    <mergeCell ref="P4:Q5"/>
    <mergeCell ref="R4:S5"/>
    <mergeCell ref="T4:U5"/>
    <mergeCell ref="C2:S2"/>
    <mergeCell ref="C3:S3"/>
    <mergeCell ref="F4:F5"/>
    <mergeCell ref="G4:G5"/>
    <mergeCell ref="H4:I5"/>
    <mergeCell ref="A4:A6"/>
    <mergeCell ref="B4:B6"/>
    <mergeCell ref="C4:C6"/>
    <mergeCell ref="D4:D5"/>
    <mergeCell ref="E4:E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19"/>
  <sheetViews>
    <sheetView zoomScale="80" zoomScaleNormal="80" workbookViewId="0">
      <pane xSplit="6" ySplit="7" topLeftCell="K8" activePane="bottomRight" state="frozen"/>
      <selection pane="topRight" activeCell="G1" sqref="G1"/>
      <selection pane="bottomLeft" activeCell="A8" sqref="A8"/>
      <selection pane="bottomRight" activeCell="AH19" sqref="AH19"/>
    </sheetView>
  </sheetViews>
  <sheetFormatPr defaultColWidth="9.140625" defaultRowHeight="15.75" x14ac:dyDescent="0.25"/>
  <cols>
    <col min="1" max="1" width="4.42578125" style="53" customWidth="1"/>
    <col min="2" max="2" width="39.7109375" style="53" customWidth="1"/>
    <col min="3" max="3" width="18.5703125" style="54" customWidth="1"/>
    <col min="4" max="4" width="18" style="53" customWidth="1"/>
    <col min="5" max="5" width="14.7109375" style="53" customWidth="1"/>
    <col min="6" max="6" width="17.140625" style="53" customWidth="1"/>
    <col min="7" max="7" width="17.85546875" style="53" customWidth="1"/>
    <col min="8" max="8" width="12.140625" style="53" customWidth="1"/>
    <col min="9" max="9" width="10.85546875" style="53" customWidth="1"/>
    <col min="10" max="10" width="12.7109375" style="53" customWidth="1"/>
    <col min="11" max="11" width="13.5703125" style="53" customWidth="1"/>
    <col min="12" max="12" width="12.42578125" style="53" customWidth="1"/>
    <col min="13" max="13" width="13" style="53" customWidth="1"/>
    <col min="14" max="33" width="11.5703125" style="53" customWidth="1"/>
    <col min="34" max="34" width="52.5703125" style="53" customWidth="1"/>
    <col min="35" max="16384" width="9.140625" style="53"/>
  </cols>
  <sheetData>
    <row r="1" spans="1:35" ht="8.25" customHeight="1" x14ac:dyDescent="0.25">
      <c r="C1" s="1"/>
      <c r="D1" s="2"/>
      <c r="E1" s="2"/>
      <c r="F1" s="2"/>
      <c r="G1" s="2"/>
      <c r="H1" s="2"/>
      <c r="I1" s="2"/>
      <c r="J1" s="3"/>
      <c r="K1" s="3"/>
      <c r="L1" s="3"/>
      <c r="M1" s="3"/>
      <c r="N1" s="3"/>
      <c r="O1" s="3"/>
      <c r="P1" s="3"/>
      <c r="Q1" s="3"/>
      <c r="R1" s="3"/>
      <c r="S1" s="3"/>
      <c r="T1" s="3"/>
      <c r="U1" s="3"/>
      <c r="V1" s="5"/>
      <c r="W1" s="5"/>
      <c r="X1" s="5"/>
      <c r="Y1" s="5"/>
      <c r="Z1" s="5"/>
      <c r="AA1" s="5"/>
      <c r="AB1" s="5"/>
      <c r="AC1" s="5"/>
      <c r="AD1" s="96"/>
      <c r="AE1" s="96"/>
      <c r="AF1" s="96"/>
      <c r="AG1" s="3"/>
      <c r="AH1" s="3"/>
    </row>
    <row r="2" spans="1:35" x14ac:dyDescent="0.25">
      <c r="C2" s="346" t="s">
        <v>24</v>
      </c>
      <c r="D2" s="346"/>
      <c r="E2" s="346"/>
      <c r="F2" s="346"/>
      <c r="G2" s="346"/>
      <c r="H2" s="346"/>
      <c r="I2" s="346"/>
      <c r="J2" s="346"/>
      <c r="K2" s="346"/>
      <c r="L2" s="346"/>
      <c r="M2" s="346"/>
      <c r="N2" s="346"/>
      <c r="O2" s="346"/>
      <c r="P2" s="346"/>
      <c r="Q2" s="346"/>
      <c r="R2" s="346"/>
      <c r="S2" s="346"/>
      <c r="T2" s="93"/>
      <c r="U2" s="93"/>
      <c r="V2" s="93"/>
      <c r="W2" s="93"/>
      <c r="X2" s="93"/>
      <c r="Y2" s="93"/>
      <c r="Z2" s="93"/>
      <c r="AA2" s="93"/>
      <c r="AB2" s="93"/>
      <c r="AC2" s="93"/>
      <c r="AD2" s="93"/>
      <c r="AE2" s="93"/>
      <c r="AF2" s="93"/>
      <c r="AG2" s="93"/>
      <c r="AH2" s="93"/>
    </row>
    <row r="3" spans="1:35" ht="36.75" customHeight="1" x14ac:dyDescent="0.25">
      <c r="C3" s="346" t="s">
        <v>25</v>
      </c>
      <c r="D3" s="346"/>
      <c r="E3" s="346"/>
      <c r="F3" s="346"/>
      <c r="G3" s="346"/>
      <c r="H3" s="346"/>
      <c r="I3" s="346"/>
      <c r="J3" s="346"/>
      <c r="K3" s="346"/>
      <c r="L3" s="346"/>
      <c r="M3" s="346"/>
      <c r="N3" s="346"/>
      <c r="O3" s="346"/>
      <c r="P3" s="346"/>
      <c r="Q3" s="346"/>
      <c r="R3" s="346"/>
      <c r="S3" s="346"/>
      <c r="T3" s="94"/>
      <c r="U3" s="94"/>
      <c r="V3" s="94"/>
      <c r="W3" s="94"/>
      <c r="X3" s="94"/>
      <c r="Y3" s="94"/>
      <c r="Z3" s="94"/>
      <c r="AA3" s="94"/>
      <c r="AB3" s="94"/>
      <c r="AC3" s="94"/>
      <c r="AD3" s="95"/>
      <c r="AE3" s="95"/>
      <c r="AF3" s="95"/>
      <c r="AG3" s="37" t="s">
        <v>0</v>
      </c>
      <c r="AH3" s="95"/>
    </row>
    <row r="4" spans="1:35" s="33" customFormat="1" ht="15" customHeight="1" x14ac:dyDescent="0.25">
      <c r="A4" s="348" t="s">
        <v>26</v>
      </c>
      <c r="B4" s="351" t="s">
        <v>29</v>
      </c>
      <c r="C4" s="351" t="s">
        <v>30</v>
      </c>
      <c r="D4" s="359"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33" customFormat="1" ht="39" customHeight="1" x14ac:dyDescent="0.25">
      <c r="A5" s="349"/>
      <c r="B5" s="352"/>
      <c r="C5" s="352"/>
      <c r="D5" s="360"/>
      <c r="E5" s="360"/>
      <c r="F5" s="360"/>
      <c r="G5" s="360"/>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5" s="33" customFormat="1" ht="64.5" customHeight="1" x14ac:dyDescent="0.25">
      <c r="A6" s="350"/>
      <c r="B6" s="353"/>
      <c r="C6" s="353"/>
      <c r="D6" s="38">
        <v>2025</v>
      </c>
      <c r="E6" s="39">
        <v>45778</v>
      </c>
      <c r="F6" s="39">
        <v>45778</v>
      </c>
      <c r="G6" s="39">
        <v>45778</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33" customFormat="1" x14ac:dyDescent="0.25">
      <c r="A7" s="56">
        <v>1</v>
      </c>
      <c r="B7" s="56">
        <v>2</v>
      </c>
      <c r="C7" s="56">
        <v>3</v>
      </c>
      <c r="D7" s="56">
        <v>4</v>
      </c>
      <c r="E7" s="56">
        <v>5</v>
      </c>
      <c r="F7" s="56">
        <v>6</v>
      </c>
      <c r="G7" s="56">
        <v>7</v>
      </c>
      <c r="H7" s="56">
        <v>8</v>
      </c>
      <c r="I7" s="56">
        <v>9</v>
      </c>
      <c r="J7" s="56">
        <v>10</v>
      </c>
      <c r="K7" s="56">
        <v>11</v>
      </c>
      <c r="L7" s="56">
        <v>12</v>
      </c>
      <c r="M7" s="56">
        <v>13</v>
      </c>
      <c r="N7" s="56">
        <v>14</v>
      </c>
      <c r="O7" s="56">
        <v>15</v>
      </c>
      <c r="P7" s="56">
        <v>16</v>
      </c>
      <c r="Q7" s="56">
        <v>17</v>
      </c>
      <c r="R7" s="56">
        <v>18</v>
      </c>
      <c r="S7" s="56">
        <v>19</v>
      </c>
      <c r="T7" s="56">
        <v>20</v>
      </c>
      <c r="U7" s="56">
        <v>21</v>
      </c>
      <c r="V7" s="56">
        <v>22</v>
      </c>
      <c r="W7" s="56">
        <v>23</v>
      </c>
      <c r="X7" s="56">
        <v>24</v>
      </c>
      <c r="Y7" s="56">
        <v>25</v>
      </c>
      <c r="Z7" s="56">
        <v>26</v>
      </c>
      <c r="AA7" s="56">
        <v>27</v>
      </c>
      <c r="AB7" s="56">
        <v>28</v>
      </c>
      <c r="AC7" s="56">
        <v>29</v>
      </c>
      <c r="AD7" s="56">
        <v>30</v>
      </c>
      <c r="AE7" s="56">
        <v>31</v>
      </c>
      <c r="AF7" s="56">
        <v>32</v>
      </c>
      <c r="AG7" s="56">
        <v>33</v>
      </c>
      <c r="AH7" s="56">
        <v>34</v>
      </c>
    </row>
    <row r="8" spans="1:35" s="100" customFormat="1" ht="31.5" customHeight="1" x14ac:dyDescent="0.25">
      <c r="A8" s="441"/>
      <c r="B8" s="361" t="s">
        <v>23</v>
      </c>
      <c r="C8" s="97" t="s">
        <v>20</v>
      </c>
      <c r="D8" s="98">
        <f>SUM(D9:D9)</f>
        <v>36060.999000000003</v>
      </c>
      <c r="E8" s="98">
        <f>SUM(E9:E9)</f>
        <v>13742.583999999999</v>
      </c>
      <c r="F8" s="98">
        <f>SUM(F9:F9)</f>
        <v>10607.837</v>
      </c>
      <c r="G8" s="98">
        <f>SUM(G9:G9)</f>
        <v>10607.837</v>
      </c>
      <c r="H8" s="98">
        <f>IFERROR(G8/D8*100,0)</f>
        <v>29.416370300778404</v>
      </c>
      <c r="I8" s="98">
        <f>IFERROR(G8/E8*100,0)</f>
        <v>77.189537280616221</v>
      </c>
      <c r="J8" s="99">
        <f t="shared" ref="J8:AG8" si="0">SUM(J9:J9)</f>
        <v>4745.6509999999998</v>
      </c>
      <c r="K8" s="99">
        <f t="shared" si="0"/>
        <v>2509.02</v>
      </c>
      <c r="L8" s="99">
        <f t="shared" si="0"/>
        <v>3120.6909999999998</v>
      </c>
      <c r="M8" s="99">
        <f t="shared" si="0"/>
        <v>3210.2570000000001</v>
      </c>
      <c r="N8" s="99">
        <f t="shared" si="0"/>
        <v>2114.6239999999998</v>
      </c>
      <c r="O8" s="99">
        <f t="shared" si="0"/>
        <v>2424.4499999999998</v>
      </c>
      <c r="P8" s="99">
        <f t="shared" si="0"/>
        <v>3761.6179999999995</v>
      </c>
      <c r="Q8" s="99">
        <f t="shared" si="0"/>
        <v>2464.1099999999997</v>
      </c>
      <c r="R8" s="99">
        <f t="shared" si="0"/>
        <v>2831.7120000000004</v>
      </c>
      <c r="S8" s="99">
        <f t="shared" si="0"/>
        <v>0</v>
      </c>
      <c r="T8" s="99">
        <f t="shared" si="0"/>
        <v>2104.9839999999999</v>
      </c>
      <c r="U8" s="99">
        <f t="shared" si="0"/>
        <v>0</v>
      </c>
      <c r="V8" s="99">
        <f t="shared" si="0"/>
        <v>3763.6759999999995</v>
      </c>
      <c r="W8" s="99">
        <f t="shared" si="0"/>
        <v>0</v>
      </c>
      <c r="X8" s="99">
        <f t="shared" si="0"/>
        <v>2835.7269999999999</v>
      </c>
      <c r="Y8" s="99">
        <f t="shared" si="0"/>
        <v>0</v>
      </c>
      <c r="Z8" s="99">
        <f t="shared" si="0"/>
        <v>2107.16</v>
      </c>
      <c r="AA8" s="99">
        <f t="shared" si="0"/>
        <v>0</v>
      </c>
      <c r="AB8" s="99">
        <f t="shared" si="0"/>
        <v>3097.9949999999999</v>
      </c>
      <c r="AC8" s="99">
        <f t="shared" si="0"/>
        <v>0</v>
      </c>
      <c r="AD8" s="99">
        <f t="shared" si="0"/>
        <v>2631.308</v>
      </c>
      <c r="AE8" s="99">
        <f t="shared" si="0"/>
        <v>0</v>
      </c>
      <c r="AF8" s="99">
        <f t="shared" si="0"/>
        <v>2945.8530000000001</v>
      </c>
      <c r="AG8" s="99">
        <f t="shared" si="0"/>
        <v>0</v>
      </c>
      <c r="AH8" s="60"/>
    </row>
    <row r="9" spans="1:35" s="33" customFormat="1" ht="38.25" customHeight="1" x14ac:dyDescent="0.25">
      <c r="A9" s="443"/>
      <c r="B9" s="363"/>
      <c r="C9" s="101" t="s">
        <v>21</v>
      </c>
      <c r="D9" s="102">
        <f>D12+D15</f>
        <v>36060.999000000003</v>
      </c>
      <c r="E9" s="102">
        <f t="shared" ref="E9:G9" si="1">E12+E15</f>
        <v>13742.583999999999</v>
      </c>
      <c r="F9" s="102">
        <f t="shared" si="1"/>
        <v>10607.837</v>
      </c>
      <c r="G9" s="102">
        <f t="shared" si="1"/>
        <v>10607.837</v>
      </c>
      <c r="H9" s="102">
        <f>IFERROR(G9/D9*100,0)</f>
        <v>29.416370300778404</v>
      </c>
      <c r="I9" s="102">
        <f>IFERROR(G9/E9*100,0)</f>
        <v>77.189537280616221</v>
      </c>
      <c r="J9" s="103">
        <f>J12+J15</f>
        <v>4745.6509999999998</v>
      </c>
      <c r="K9" s="103">
        <f t="shared" ref="K9:AG9" si="2">K12+K15</f>
        <v>2509.02</v>
      </c>
      <c r="L9" s="103">
        <f t="shared" si="2"/>
        <v>3120.6909999999998</v>
      </c>
      <c r="M9" s="103">
        <f t="shared" si="2"/>
        <v>3210.2570000000001</v>
      </c>
      <c r="N9" s="103">
        <f t="shared" si="2"/>
        <v>2114.6239999999998</v>
      </c>
      <c r="O9" s="103">
        <f t="shared" si="2"/>
        <v>2424.4499999999998</v>
      </c>
      <c r="P9" s="103">
        <f t="shared" si="2"/>
        <v>3761.6179999999995</v>
      </c>
      <c r="Q9" s="103">
        <f t="shared" si="2"/>
        <v>2464.1099999999997</v>
      </c>
      <c r="R9" s="103">
        <f t="shared" si="2"/>
        <v>2831.7120000000004</v>
      </c>
      <c r="S9" s="103">
        <f t="shared" si="2"/>
        <v>0</v>
      </c>
      <c r="T9" s="103">
        <f t="shared" si="2"/>
        <v>2104.9839999999999</v>
      </c>
      <c r="U9" s="103">
        <f t="shared" si="2"/>
        <v>0</v>
      </c>
      <c r="V9" s="103">
        <f t="shared" si="2"/>
        <v>3763.6759999999995</v>
      </c>
      <c r="W9" s="103">
        <f t="shared" si="2"/>
        <v>0</v>
      </c>
      <c r="X9" s="103">
        <f t="shared" si="2"/>
        <v>2835.7269999999999</v>
      </c>
      <c r="Y9" s="103">
        <f t="shared" si="2"/>
        <v>0</v>
      </c>
      <c r="Z9" s="103">
        <f t="shared" si="2"/>
        <v>2107.16</v>
      </c>
      <c r="AA9" s="103">
        <f t="shared" si="2"/>
        <v>0</v>
      </c>
      <c r="AB9" s="103">
        <f t="shared" si="2"/>
        <v>3097.9949999999999</v>
      </c>
      <c r="AC9" s="103">
        <f t="shared" si="2"/>
        <v>0</v>
      </c>
      <c r="AD9" s="103">
        <f t="shared" si="2"/>
        <v>2631.308</v>
      </c>
      <c r="AE9" s="103">
        <f t="shared" si="2"/>
        <v>0</v>
      </c>
      <c r="AF9" s="103">
        <f t="shared" si="2"/>
        <v>2945.8530000000001</v>
      </c>
      <c r="AG9" s="103">
        <f t="shared" si="2"/>
        <v>0</v>
      </c>
      <c r="AH9" s="64"/>
    </row>
    <row r="10" spans="1:35" s="33" customFormat="1" ht="18.75" customHeight="1" x14ac:dyDescent="0.25">
      <c r="A10" s="104"/>
      <c r="B10" s="370" t="s">
        <v>31</v>
      </c>
      <c r="C10" s="371"/>
      <c r="D10" s="371"/>
      <c r="E10" s="371"/>
      <c r="F10" s="371"/>
      <c r="G10" s="371"/>
      <c r="H10" s="371"/>
      <c r="I10" s="371"/>
      <c r="J10" s="371"/>
      <c r="K10" s="371"/>
      <c r="L10" s="371"/>
      <c r="M10" s="371"/>
      <c r="N10" s="371"/>
      <c r="O10" s="371"/>
      <c r="P10" s="371"/>
      <c r="Q10" s="371"/>
      <c r="R10" s="371"/>
      <c r="S10" s="371"/>
      <c r="T10" s="371"/>
      <c r="U10" s="371"/>
      <c r="V10" s="371"/>
      <c r="W10" s="371"/>
      <c r="X10" s="371"/>
      <c r="Y10" s="371"/>
      <c r="Z10" s="371"/>
      <c r="AA10" s="371"/>
      <c r="AB10" s="371"/>
      <c r="AC10" s="371"/>
      <c r="AD10" s="371"/>
      <c r="AE10" s="371"/>
      <c r="AF10" s="371"/>
      <c r="AG10" s="372"/>
      <c r="AH10" s="64"/>
    </row>
    <row r="11" spans="1:35" s="100" customFormat="1" ht="81.75" customHeight="1" x14ac:dyDescent="0.25">
      <c r="A11" s="373" t="s">
        <v>37</v>
      </c>
      <c r="B11" s="348" t="s">
        <v>33</v>
      </c>
      <c r="C11" s="97" t="s">
        <v>20</v>
      </c>
      <c r="D11" s="98">
        <f>SUM(D12:D12)</f>
        <v>115</v>
      </c>
      <c r="E11" s="98">
        <f>SUM(E12:E12)</f>
        <v>28.773000000000003</v>
      </c>
      <c r="F11" s="98">
        <f>SUM(F12:F12)</f>
        <v>23.306999999999999</v>
      </c>
      <c r="G11" s="98">
        <f>SUM(G12:G12)</f>
        <v>23.306999999999999</v>
      </c>
      <c r="H11" s="98">
        <f>IFERROR(G11/D11*100,0)</f>
        <v>20.266956521739129</v>
      </c>
      <c r="I11" s="98">
        <f>IFERROR(G11/E11*100,0)</f>
        <v>81.003023668022095</v>
      </c>
      <c r="J11" s="99">
        <f t="shared" ref="J11:AG11" si="3">SUM(J12:J12)</f>
        <v>0</v>
      </c>
      <c r="K11" s="99">
        <f t="shared" si="3"/>
        <v>0</v>
      </c>
      <c r="L11" s="99">
        <f t="shared" si="3"/>
        <v>0</v>
      </c>
      <c r="M11" s="99">
        <f t="shared" si="3"/>
        <v>0</v>
      </c>
      <c r="N11" s="99">
        <f t="shared" si="3"/>
        <v>19.495000000000001</v>
      </c>
      <c r="O11" s="99">
        <f t="shared" si="3"/>
        <v>0</v>
      </c>
      <c r="P11" s="99">
        <f t="shared" si="3"/>
        <v>9.2780000000000005</v>
      </c>
      <c r="Q11" s="99">
        <f t="shared" si="3"/>
        <v>23.306999999999999</v>
      </c>
      <c r="R11" s="99">
        <f t="shared" si="3"/>
        <v>11.349</v>
      </c>
      <c r="S11" s="99">
        <f t="shared" si="3"/>
        <v>0</v>
      </c>
      <c r="T11" s="99">
        <f t="shared" si="3"/>
        <v>9.8550000000000004</v>
      </c>
      <c r="U11" s="99">
        <f t="shared" si="3"/>
        <v>0</v>
      </c>
      <c r="V11" s="99">
        <f t="shared" si="3"/>
        <v>11.336</v>
      </c>
      <c r="W11" s="99">
        <f t="shared" si="3"/>
        <v>0</v>
      </c>
      <c r="X11" s="99">
        <f t="shared" si="3"/>
        <v>15.365</v>
      </c>
      <c r="Y11" s="99">
        <f t="shared" si="3"/>
        <v>0</v>
      </c>
      <c r="Z11" s="99">
        <f t="shared" si="3"/>
        <v>12.031000000000001</v>
      </c>
      <c r="AA11" s="99">
        <f t="shared" si="3"/>
        <v>0</v>
      </c>
      <c r="AB11" s="99">
        <f t="shared" si="3"/>
        <v>13.260999999999999</v>
      </c>
      <c r="AC11" s="99">
        <f t="shared" si="3"/>
        <v>0</v>
      </c>
      <c r="AD11" s="99">
        <f t="shared" si="3"/>
        <v>12.561999999999999</v>
      </c>
      <c r="AE11" s="99">
        <f t="shared" si="3"/>
        <v>0</v>
      </c>
      <c r="AF11" s="99">
        <f t="shared" si="3"/>
        <v>0.46800000000000003</v>
      </c>
      <c r="AG11" s="99">
        <f t="shared" si="3"/>
        <v>0</v>
      </c>
      <c r="AH11" s="60"/>
      <c r="AI11" s="105"/>
    </row>
    <row r="12" spans="1:35" s="33" customFormat="1" ht="69.75" customHeight="1" x14ac:dyDescent="0.25">
      <c r="A12" s="375"/>
      <c r="B12" s="350"/>
      <c r="C12" s="101" t="s">
        <v>21</v>
      </c>
      <c r="D12" s="102">
        <f>SUM(J12,L12,N12,P12,R12,T12,V12,X12,Z12,AB12,AD12,AF12)</f>
        <v>115</v>
      </c>
      <c r="E12" s="102">
        <f>J12+L12+N12+P12</f>
        <v>28.773000000000003</v>
      </c>
      <c r="F12" s="102">
        <f>G12</f>
        <v>23.306999999999999</v>
      </c>
      <c r="G12" s="102">
        <f>SUM(K12,M12,O12,Q12,S12,U12,W12,Y12,AA12,AC12,AE12,AG12)</f>
        <v>23.306999999999999</v>
      </c>
      <c r="H12" s="102">
        <f>IFERROR(G12/D12*100,0)</f>
        <v>20.266956521739129</v>
      </c>
      <c r="I12" s="102">
        <f>IFERROR(G12/E12*100,0)</f>
        <v>81.003023668022095</v>
      </c>
      <c r="J12" s="103">
        <v>0</v>
      </c>
      <c r="K12" s="103">
        <v>0</v>
      </c>
      <c r="L12" s="103">
        <v>0</v>
      </c>
      <c r="M12" s="103">
        <v>0</v>
      </c>
      <c r="N12" s="103">
        <v>19.495000000000001</v>
      </c>
      <c r="O12" s="103">
        <v>0</v>
      </c>
      <c r="P12" s="103">
        <v>9.2780000000000005</v>
      </c>
      <c r="Q12" s="103">
        <v>23.306999999999999</v>
      </c>
      <c r="R12" s="103">
        <v>11.349</v>
      </c>
      <c r="S12" s="103">
        <v>0</v>
      </c>
      <c r="T12" s="103">
        <v>9.8550000000000004</v>
      </c>
      <c r="U12" s="103">
        <v>0</v>
      </c>
      <c r="V12" s="103">
        <v>11.336</v>
      </c>
      <c r="W12" s="103">
        <v>0</v>
      </c>
      <c r="X12" s="103">
        <v>15.365</v>
      </c>
      <c r="Y12" s="103">
        <v>0</v>
      </c>
      <c r="Z12" s="103">
        <v>12.031000000000001</v>
      </c>
      <c r="AA12" s="103">
        <v>0</v>
      </c>
      <c r="AB12" s="103">
        <v>13.260999999999999</v>
      </c>
      <c r="AC12" s="103">
        <v>0</v>
      </c>
      <c r="AD12" s="103">
        <v>12.561999999999999</v>
      </c>
      <c r="AE12" s="103">
        <v>0</v>
      </c>
      <c r="AF12" s="103">
        <v>0.46800000000000003</v>
      </c>
      <c r="AG12" s="103">
        <v>0</v>
      </c>
      <c r="AH12" s="64" t="s">
        <v>360</v>
      </c>
      <c r="AI12" s="106"/>
    </row>
    <row r="13" spans="1:35" s="33" customFormat="1" ht="21" customHeight="1" x14ac:dyDescent="0.25">
      <c r="A13" s="107"/>
      <c r="B13" s="370" t="s">
        <v>32</v>
      </c>
      <c r="C13" s="371"/>
      <c r="D13" s="371"/>
      <c r="E13" s="371"/>
      <c r="F13" s="371"/>
      <c r="G13" s="371"/>
      <c r="H13" s="371"/>
      <c r="I13" s="371"/>
      <c r="J13" s="371"/>
      <c r="K13" s="371"/>
      <c r="L13" s="371"/>
      <c r="M13" s="371"/>
      <c r="N13" s="371"/>
      <c r="O13" s="371"/>
      <c r="P13" s="371"/>
      <c r="Q13" s="371"/>
      <c r="R13" s="371"/>
      <c r="S13" s="371"/>
      <c r="T13" s="371"/>
      <c r="U13" s="371"/>
      <c r="V13" s="371"/>
      <c r="W13" s="371"/>
      <c r="X13" s="371"/>
      <c r="Y13" s="371"/>
      <c r="Z13" s="371"/>
      <c r="AA13" s="371"/>
      <c r="AB13" s="371"/>
      <c r="AC13" s="371"/>
      <c r="AD13" s="371"/>
      <c r="AE13" s="371"/>
      <c r="AF13" s="371"/>
      <c r="AG13" s="372"/>
      <c r="AH13" s="64"/>
      <c r="AI13" s="106"/>
    </row>
    <row r="14" spans="1:35" s="100" customFormat="1" ht="47.25" customHeight="1" x14ac:dyDescent="0.25">
      <c r="A14" s="373" t="s">
        <v>38</v>
      </c>
      <c r="B14" s="348" t="s">
        <v>34</v>
      </c>
      <c r="C14" s="97" t="s">
        <v>20</v>
      </c>
      <c r="D14" s="98">
        <f>SUM(D15:D15)</f>
        <v>35945.999000000003</v>
      </c>
      <c r="E14" s="98">
        <f>SUM(E15:E15)</f>
        <v>13713.811</v>
      </c>
      <c r="F14" s="98">
        <f>SUM(F15:F15)</f>
        <v>10584.529999999999</v>
      </c>
      <c r="G14" s="98">
        <f>SUM(G15:G15)</f>
        <v>10584.529999999999</v>
      </c>
      <c r="H14" s="98">
        <f t="shared" ref="H14:H19" si="4">IFERROR(G14/D14*100,0)</f>
        <v>29.445641502410318</v>
      </c>
      <c r="I14" s="98">
        <f t="shared" ref="I14:I19" si="5">IFERROR(G14/E14*100,0)</f>
        <v>77.18153619004957</v>
      </c>
      <c r="J14" s="99">
        <f t="shared" ref="J14:AG14" si="6">SUM(J15:J15)</f>
        <v>4745.6509999999998</v>
      </c>
      <c r="K14" s="99">
        <f t="shared" si="6"/>
        <v>2509.02</v>
      </c>
      <c r="L14" s="99">
        <f t="shared" si="6"/>
        <v>3120.6909999999998</v>
      </c>
      <c r="M14" s="99">
        <f t="shared" si="6"/>
        <v>3210.2570000000001</v>
      </c>
      <c r="N14" s="99">
        <f t="shared" si="6"/>
        <v>2095.1289999999999</v>
      </c>
      <c r="O14" s="99">
        <f t="shared" si="6"/>
        <v>2424.4499999999998</v>
      </c>
      <c r="P14" s="99">
        <f t="shared" si="6"/>
        <v>3752.3399999999997</v>
      </c>
      <c r="Q14" s="99">
        <f t="shared" si="6"/>
        <v>2440.8029999999999</v>
      </c>
      <c r="R14" s="99">
        <f t="shared" si="6"/>
        <v>2820.3630000000003</v>
      </c>
      <c r="S14" s="99">
        <f t="shared" si="6"/>
        <v>0</v>
      </c>
      <c r="T14" s="99">
        <f t="shared" si="6"/>
        <v>2095.1289999999999</v>
      </c>
      <c r="U14" s="99">
        <f t="shared" si="6"/>
        <v>0</v>
      </c>
      <c r="V14" s="99">
        <f t="shared" si="6"/>
        <v>3752.3399999999997</v>
      </c>
      <c r="W14" s="99">
        <f t="shared" si="6"/>
        <v>0</v>
      </c>
      <c r="X14" s="99">
        <f t="shared" si="6"/>
        <v>2820.3620000000001</v>
      </c>
      <c r="Y14" s="99">
        <f t="shared" si="6"/>
        <v>0</v>
      </c>
      <c r="Z14" s="99">
        <f t="shared" si="6"/>
        <v>2095.1289999999999</v>
      </c>
      <c r="AA14" s="99">
        <f t="shared" si="6"/>
        <v>0</v>
      </c>
      <c r="AB14" s="99">
        <f t="shared" si="6"/>
        <v>3084.7339999999999</v>
      </c>
      <c r="AC14" s="99">
        <f t="shared" si="6"/>
        <v>0</v>
      </c>
      <c r="AD14" s="99">
        <f t="shared" si="6"/>
        <v>2618.7460000000001</v>
      </c>
      <c r="AE14" s="99">
        <f t="shared" si="6"/>
        <v>0</v>
      </c>
      <c r="AF14" s="99">
        <f t="shared" si="6"/>
        <v>2945.3850000000002</v>
      </c>
      <c r="AG14" s="99">
        <f t="shared" si="6"/>
        <v>0</v>
      </c>
      <c r="AH14" s="64" t="s">
        <v>359</v>
      </c>
      <c r="AI14" s="106"/>
    </row>
    <row r="15" spans="1:35" s="33" customFormat="1" ht="42" customHeight="1" x14ac:dyDescent="0.25">
      <c r="A15" s="375"/>
      <c r="B15" s="350"/>
      <c r="C15" s="101" t="s">
        <v>21</v>
      </c>
      <c r="D15" s="102">
        <f>SUM(J15,L15,N15,P15,R15,T15,V15,X15,Z15,AB15,AD15,AF15)</f>
        <v>35945.999000000003</v>
      </c>
      <c r="E15" s="102">
        <f>J15+L15+N15+P15</f>
        <v>13713.811</v>
      </c>
      <c r="F15" s="102">
        <f>G15</f>
        <v>10584.529999999999</v>
      </c>
      <c r="G15" s="102">
        <f>SUM(K15,M15,O15,Q15,S15,U15,W15,Y15,AA15,AC15,AE15,AG15)</f>
        <v>10584.529999999999</v>
      </c>
      <c r="H15" s="102">
        <f t="shared" si="4"/>
        <v>29.445641502410318</v>
      </c>
      <c r="I15" s="102">
        <f t="shared" si="5"/>
        <v>77.18153619004957</v>
      </c>
      <c r="J15" s="103">
        <f>J17+J19</f>
        <v>4745.6509999999998</v>
      </c>
      <c r="K15" s="103">
        <f t="shared" ref="K15:AG15" si="7">K17+K19</f>
        <v>2509.02</v>
      </c>
      <c r="L15" s="103">
        <f t="shared" si="7"/>
        <v>3120.6909999999998</v>
      </c>
      <c r="M15" s="103">
        <f t="shared" si="7"/>
        <v>3210.2570000000001</v>
      </c>
      <c r="N15" s="103">
        <f t="shared" si="7"/>
        <v>2095.1289999999999</v>
      </c>
      <c r="O15" s="103">
        <f t="shared" si="7"/>
        <v>2424.4499999999998</v>
      </c>
      <c r="P15" s="103">
        <f t="shared" si="7"/>
        <v>3752.3399999999997</v>
      </c>
      <c r="Q15" s="103">
        <f t="shared" si="7"/>
        <v>2440.8029999999999</v>
      </c>
      <c r="R15" s="103">
        <f t="shared" si="7"/>
        <v>2820.3630000000003</v>
      </c>
      <c r="S15" s="103">
        <f t="shared" si="7"/>
        <v>0</v>
      </c>
      <c r="T15" s="103">
        <f t="shared" si="7"/>
        <v>2095.1289999999999</v>
      </c>
      <c r="U15" s="103">
        <f t="shared" si="7"/>
        <v>0</v>
      </c>
      <c r="V15" s="103">
        <f t="shared" si="7"/>
        <v>3752.3399999999997</v>
      </c>
      <c r="W15" s="103">
        <f t="shared" si="7"/>
        <v>0</v>
      </c>
      <c r="X15" s="103">
        <f t="shared" si="7"/>
        <v>2820.3620000000001</v>
      </c>
      <c r="Y15" s="103">
        <f t="shared" si="7"/>
        <v>0</v>
      </c>
      <c r="Z15" s="103">
        <f t="shared" si="7"/>
        <v>2095.1289999999999</v>
      </c>
      <c r="AA15" s="103">
        <f t="shared" si="7"/>
        <v>0</v>
      </c>
      <c r="AB15" s="103">
        <f t="shared" si="7"/>
        <v>3084.7339999999999</v>
      </c>
      <c r="AC15" s="103">
        <f t="shared" si="7"/>
        <v>0</v>
      </c>
      <c r="AD15" s="103">
        <f t="shared" si="7"/>
        <v>2618.7460000000001</v>
      </c>
      <c r="AE15" s="103">
        <f t="shared" si="7"/>
        <v>0</v>
      </c>
      <c r="AF15" s="103">
        <f t="shared" si="7"/>
        <v>2945.3850000000002</v>
      </c>
      <c r="AG15" s="103">
        <f t="shared" si="7"/>
        <v>0</v>
      </c>
      <c r="AH15" s="64"/>
      <c r="AI15" s="106"/>
    </row>
    <row r="16" spans="1:35" s="100" customFormat="1" ht="34.5" customHeight="1" x14ac:dyDescent="0.25">
      <c r="A16" s="441"/>
      <c r="B16" s="482" t="s">
        <v>35</v>
      </c>
      <c r="C16" s="108" t="s">
        <v>20</v>
      </c>
      <c r="D16" s="109">
        <f>D17</f>
        <v>27692.399000000001</v>
      </c>
      <c r="E16" s="109">
        <f t="shared" ref="E16:G16" si="8">E17</f>
        <v>10526.218000000001</v>
      </c>
      <c r="F16" s="109">
        <f t="shared" si="8"/>
        <v>7998.2890000000007</v>
      </c>
      <c r="G16" s="109">
        <f t="shared" si="8"/>
        <v>7998.2890000000007</v>
      </c>
      <c r="H16" s="109">
        <f t="shared" si="4"/>
        <v>28.882615045377612</v>
      </c>
      <c r="I16" s="109">
        <f t="shared" si="5"/>
        <v>75.984451395553464</v>
      </c>
      <c r="J16" s="110">
        <f>J17</f>
        <v>3608.3850000000002</v>
      </c>
      <c r="K16" s="110">
        <f t="shared" ref="K16:AG16" si="9">K17</f>
        <v>1837.2719999999999</v>
      </c>
      <c r="L16" s="110">
        <f t="shared" si="9"/>
        <v>2411.4769999999999</v>
      </c>
      <c r="M16" s="110">
        <f t="shared" si="9"/>
        <v>2429.4</v>
      </c>
      <c r="N16" s="110">
        <f t="shared" si="9"/>
        <v>1615.4349999999999</v>
      </c>
      <c r="O16" s="110">
        <f t="shared" si="9"/>
        <v>1895.7860000000001</v>
      </c>
      <c r="P16" s="110">
        <f t="shared" si="9"/>
        <v>2890.9209999999998</v>
      </c>
      <c r="Q16" s="110">
        <f t="shared" si="9"/>
        <v>1835.8309999999999</v>
      </c>
      <c r="R16" s="110">
        <f t="shared" si="9"/>
        <v>2175.1320000000001</v>
      </c>
      <c r="S16" s="110">
        <f t="shared" si="9"/>
        <v>0</v>
      </c>
      <c r="T16" s="110">
        <f t="shared" si="9"/>
        <v>1615.4349999999999</v>
      </c>
      <c r="U16" s="110">
        <f t="shared" si="9"/>
        <v>0</v>
      </c>
      <c r="V16" s="110">
        <f t="shared" si="9"/>
        <v>2890.9209999999998</v>
      </c>
      <c r="W16" s="110">
        <f t="shared" si="9"/>
        <v>0</v>
      </c>
      <c r="X16" s="110">
        <f t="shared" si="9"/>
        <v>2175.1309999999999</v>
      </c>
      <c r="Y16" s="110">
        <f t="shared" si="9"/>
        <v>0</v>
      </c>
      <c r="Z16" s="110">
        <f t="shared" si="9"/>
        <v>1615.4349999999999</v>
      </c>
      <c r="AA16" s="110">
        <f t="shared" si="9"/>
        <v>0</v>
      </c>
      <c r="AB16" s="110">
        <f t="shared" si="9"/>
        <v>2378.1779999999999</v>
      </c>
      <c r="AC16" s="110">
        <f t="shared" si="9"/>
        <v>0</v>
      </c>
      <c r="AD16" s="110">
        <f t="shared" si="9"/>
        <v>2020.2840000000001</v>
      </c>
      <c r="AE16" s="110">
        <f t="shared" si="9"/>
        <v>0</v>
      </c>
      <c r="AF16" s="110">
        <f t="shared" si="9"/>
        <v>2295.665</v>
      </c>
      <c r="AG16" s="110">
        <f t="shared" si="9"/>
        <v>0</v>
      </c>
      <c r="AH16" s="182"/>
      <c r="AI16" s="105"/>
    </row>
    <row r="17" spans="1:35" s="33" customFormat="1" ht="39.75" customHeight="1" x14ac:dyDescent="0.25">
      <c r="A17" s="443"/>
      <c r="B17" s="483"/>
      <c r="C17" s="112" t="s">
        <v>21</v>
      </c>
      <c r="D17" s="113">
        <f>SUM(J17,L17,N17,P17,R17,T17,V17,X17,Z17,AB17,AD17,AF17)</f>
        <v>27692.399000000001</v>
      </c>
      <c r="E17" s="113">
        <f>J17+L17+N17+P17</f>
        <v>10526.218000000001</v>
      </c>
      <c r="F17" s="113">
        <f>G17</f>
        <v>7998.2890000000007</v>
      </c>
      <c r="G17" s="113">
        <f>SUM(K17,M17,O17,Q17,S17,U17,W17,Y17,AA17,AC17,AE17,AG17)</f>
        <v>7998.2890000000007</v>
      </c>
      <c r="H17" s="113">
        <f t="shared" si="4"/>
        <v>28.882615045377612</v>
      </c>
      <c r="I17" s="113">
        <f t="shared" si="5"/>
        <v>75.984451395553464</v>
      </c>
      <c r="J17" s="114">
        <v>3608.3850000000002</v>
      </c>
      <c r="K17" s="114">
        <v>1837.2719999999999</v>
      </c>
      <c r="L17" s="114">
        <v>2411.4769999999999</v>
      </c>
      <c r="M17" s="114">
        <v>2429.4</v>
      </c>
      <c r="N17" s="114">
        <v>1615.4349999999999</v>
      </c>
      <c r="O17" s="114">
        <v>1895.7860000000001</v>
      </c>
      <c r="P17" s="114">
        <v>2890.9209999999998</v>
      </c>
      <c r="Q17" s="114">
        <v>1835.8309999999999</v>
      </c>
      <c r="R17" s="114">
        <v>2175.1320000000001</v>
      </c>
      <c r="S17" s="114">
        <v>0</v>
      </c>
      <c r="T17" s="114">
        <v>1615.4349999999999</v>
      </c>
      <c r="U17" s="114">
        <v>0</v>
      </c>
      <c r="V17" s="114">
        <v>2890.9209999999998</v>
      </c>
      <c r="W17" s="114">
        <v>0</v>
      </c>
      <c r="X17" s="114">
        <v>2175.1309999999999</v>
      </c>
      <c r="Y17" s="114">
        <v>0</v>
      </c>
      <c r="Z17" s="114">
        <v>1615.4349999999999</v>
      </c>
      <c r="AA17" s="114">
        <v>0</v>
      </c>
      <c r="AB17" s="114">
        <v>2378.1779999999999</v>
      </c>
      <c r="AC17" s="114">
        <v>0</v>
      </c>
      <c r="AD17" s="114">
        <v>2020.2840000000001</v>
      </c>
      <c r="AE17" s="114">
        <v>0</v>
      </c>
      <c r="AF17" s="114">
        <v>2295.665</v>
      </c>
      <c r="AG17" s="114">
        <v>0</v>
      </c>
      <c r="AH17" s="111"/>
      <c r="AI17" s="106"/>
    </row>
    <row r="18" spans="1:35" s="100" customFormat="1" ht="35.25" customHeight="1" x14ac:dyDescent="0.25">
      <c r="A18" s="441"/>
      <c r="B18" s="482" t="s">
        <v>36</v>
      </c>
      <c r="C18" s="108" t="s">
        <v>20</v>
      </c>
      <c r="D18" s="109">
        <f>D19</f>
        <v>8253.5999999999985</v>
      </c>
      <c r="E18" s="109">
        <f t="shared" ref="E18:G18" si="10">E19</f>
        <v>3187.5929999999998</v>
      </c>
      <c r="F18" s="109">
        <f t="shared" si="10"/>
        <v>2586.241</v>
      </c>
      <c r="G18" s="109">
        <f t="shared" si="10"/>
        <v>2586.241</v>
      </c>
      <c r="H18" s="109">
        <f t="shared" si="4"/>
        <v>31.33470243287778</v>
      </c>
      <c r="I18" s="109">
        <f t="shared" si="5"/>
        <v>81.134605327593576</v>
      </c>
      <c r="J18" s="110">
        <f>J19</f>
        <v>1137.2660000000001</v>
      </c>
      <c r="K18" s="110">
        <f t="shared" ref="K18:AG18" si="11">K19</f>
        <v>671.74800000000005</v>
      </c>
      <c r="L18" s="110">
        <f t="shared" si="11"/>
        <v>709.21400000000006</v>
      </c>
      <c r="M18" s="110">
        <f t="shared" si="11"/>
        <v>780.85699999999997</v>
      </c>
      <c r="N18" s="110">
        <f t="shared" si="11"/>
        <v>479.69400000000002</v>
      </c>
      <c r="O18" s="110">
        <f t="shared" si="11"/>
        <v>528.66399999999999</v>
      </c>
      <c r="P18" s="110">
        <f t="shared" si="11"/>
        <v>861.41899999999998</v>
      </c>
      <c r="Q18" s="110">
        <f t="shared" si="11"/>
        <v>604.97199999999998</v>
      </c>
      <c r="R18" s="110">
        <f t="shared" si="11"/>
        <v>645.23099999999999</v>
      </c>
      <c r="S18" s="110">
        <f t="shared" si="11"/>
        <v>0</v>
      </c>
      <c r="T18" s="110">
        <f t="shared" si="11"/>
        <v>479.69400000000002</v>
      </c>
      <c r="U18" s="110">
        <f t="shared" si="11"/>
        <v>0</v>
      </c>
      <c r="V18" s="110">
        <f t="shared" si="11"/>
        <v>861.41899999999998</v>
      </c>
      <c r="W18" s="110">
        <f t="shared" si="11"/>
        <v>0</v>
      </c>
      <c r="X18" s="110">
        <f t="shared" si="11"/>
        <v>645.23099999999999</v>
      </c>
      <c r="Y18" s="110">
        <f t="shared" si="11"/>
        <v>0</v>
      </c>
      <c r="Z18" s="110">
        <f t="shared" si="11"/>
        <v>479.69400000000002</v>
      </c>
      <c r="AA18" s="110">
        <f t="shared" si="11"/>
        <v>0</v>
      </c>
      <c r="AB18" s="110">
        <f t="shared" si="11"/>
        <v>706.55600000000004</v>
      </c>
      <c r="AC18" s="110">
        <f t="shared" si="11"/>
        <v>0</v>
      </c>
      <c r="AD18" s="110">
        <f t="shared" si="11"/>
        <v>598.46199999999999</v>
      </c>
      <c r="AE18" s="110">
        <f t="shared" si="11"/>
        <v>0</v>
      </c>
      <c r="AF18" s="110">
        <f t="shared" si="11"/>
        <v>649.72</v>
      </c>
      <c r="AG18" s="110">
        <f t="shared" si="11"/>
        <v>0</v>
      </c>
      <c r="AH18" s="183"/>
      <c r="AI18" s="105"/>
    </row>
    <row r="19" spans="1:35" s="33" customFormat="1" ht="40.5" customHeight="1" x14ac:dyDescent="0.25">
      <c r="A19" s="443"/>
      <c r="B19" s="483"/>
      <c r="C19" s="112" t="s">
        <v>21</v>
      </c>
      <c r="D19" s="113">
        <f>SUM(J19,L19,N19,P19,R19,T19,V19,X19,Z19,AB19,AD19,AF19)</f>
        <v>8253.5999999999985</v>
      </c>
      <c r="E19" s="113">
        <f>J19+L19+N19+P19</f>
        <v>3187.5929999999998</v>
      </c>
      <c r="F19" s="113">
        <f>G19</f>
        <v>2586.241</v>
      </c>
      <c r="G19" s="113">
        <f>SUM(K19,M19,O19,Q19,S19,U19,W19,Y19,AA19,AC19,AE19,AG19)</f>
        <v>2586.241</v>
      </c>
      <c r="H19" s="113">
        <f t="shared" si="4"/>
        <v>31.33470243287778</v>
      </c>
      <c r="I19" s="113">
        <f t="shared" si="5"/>
        <v>81.134605327593576</v>
      </c>
      <c r="J19" s="114">
        <v>1137.2660000000001</v>
      </c>
      <c r="K19" s="114">
        <v>671.74800000000005</v>
      </c>
      <c r="L19" s="114">
        <v>709.21400000000006</v>
      </c>
      <c r="M19" s="114">
        <v>780.85699999999997</v>
      </c>
      <c r="N19" s="114">
        <v>479.69400000000002</v>
      </c>
      <c r="O19" s="114">
        <v>528.66399999999999</v>
      </c>
      <c r="P19" s="114">
        <v>861.41899999999998</v>
      </c>
      <c r="Q19" s="114">
        <v>604.97199999999998</v>
      </c>
      <c r="R19" s="114">
        <v>645.23099999999999</v>
      </c>
      <c r="S19" s="114">
        <v>0</v>
      </c>
      <c r="T19" s="114">
        <v>479.69400000000002</v>
      </c>
      <c r="U19" s="114">
        <v>0</v>
      </c>
      <c r="V19" s="114">
        <v>861.41899999999998</v>
      </c>
      <c r="W19" s="114">
        <v>0</v>
      </c>
      <c r="X19" s="114">
        <v>645.23099999999999</v>
      </c>
      <c r="Y19" s="114">
        <v>0</v>
      </c>
      <c r="Z19" s="114">
        <v>479.69400000000002</v>
      </c>
      <c r="AA19" s="114">
        <v>0</v>
      </c>
      <c r="AB19" s="114">
        <v>706.55600000000004</v>
      </c>
      <c r="AC19" s="114">
        <v>0</v>
      </c>
      <c r="AD19" s="114">
        <v>598.46199999999999</v>
      </c>
      <c r="AE19" s="114">
        <v>0</v>
      </c>
      <c r="AF19" s="114">
        <v>649.72</v>
      </c>
      <c r="AG19" s="114">
        <v>0</v>
      </c>
      <c r="AH19" s="111"/>
      <c r="AI19" s="106"/>
    </row>
  </sheetData>
  <customSheetViews>
    <customSheetView guid="{2940A182-D1A7-43C5-8D6E-965BED4371B0}" scale="80" state="hidden">
      <pane xSplit="6" ySplit="7" topLeftCell="K8" activePane="bottomRight" state="frozen"/>
      <selection pane="bottomRight" activeCell="AH19" sqref="AH19"/>
      <pageMargins left="0.7" right="0.7" top="0.75" bottom="0.75" header="0.3" footer="0.3"/>
    </customSheetView>
    <customSheetView guid="{BBF6B43F-E0FC-43DF-B91C-674F6AB4B556}" scale="80">
      <pane xSplit="6" ySplit="7" topLeftCell="G17" activePane="bottomRight" state="frozen"/>
      <selection pane="bottomRight" activeCell="C3" sqref="C3:S3"/>
      <pageMargins left="0.7" right="0.7" top="0.75" bottom="0.75" header="0.3" footer="0.3"/>
    </customSheetView>
    <customSheetView guid="{30B635D9-57DB-47D5-8A0F-4B30DD769960}" scale="80">
      <pane xSplit="6" ySplit="7" topLeftCell="G17" activePane="bottomRight" state="frozen"/>
      <selection pane="bottomRight" activeCell="C3" sqref="C3:S3"/>
      <pageMargins left="0.7" right="0.7" top="0.75" bottom="0.75" header="0.3" footer="0.3"/>
    </customSheetView>
    <customSheetView guid="{DAEDC989-02E7-4319-8354-59410ACF3F1F}" scale="80">
      <pane xSplit="6" ySplit="7" topLeftCell="G8" activePane="bottomRight" state="frozen"/>
      <selection pane="bottomRight" activeCell="C3" sqref="C3:S3"/>
      <pageMargins left="0.7" right="0.7" top="0.75" bottom="0.75" header="0.3" footer="0.3"/>
    </customSheetView>
    <customSheetView guid="{21E1D423-7B38-4272-8354-09B4DB62C9EB}" scale="80">
      <pane xSplit="6" ySplit="7" topLeftCell="G8" activePane="bottomRight" state="frozen"/>
      <selection pane="bottomRight" activeCell="L29" sqref="L29"/>
      <pageMargins left="0.7" right="0.7" top="0.75" bottom="0.75" header="0.3" footer="0.3"/>
    </customSheetView>
    <customSheetView guid="{EA46B61D-849C-4795-A4FF-F8F1740022EB}" scale="80">
      <pane xSplit="6" ySplit="7" topLeftCell="G8" activePane="bottomRight" state="frozen"/>
      <selection pane="bottomRight" activeCell="C3" sqref="C3:S3"/>
      <pageMargins left="0.7" right="0.7" top="0.75" bottom="0.75" header="0.3" footer="0.3"/>
    </customSheetView>
    <customSheetView guid="{A0E2FBF6-E560-4343-8BE6-217DC798135B}" scale="80">
      <pane xSplit="6" ySplit="7" topLeftCell="G8" activePane="bottomRight" state="frozen"/>
      <selection pane="bottomRight" activeCell="C3" sqref="C3:S3"/>
      <pageMargins left="0.7" right="0.7" top="0.75" bottom="0.75" header="0.3" footer="0.3"/>
    </customSheetView>
    <customSheetView guid="{20A05A62-CBE8-4538-BBC3-2AD9D3B8FAC0}" scale="80">
      <pane xSplit="6" ySplit="7" topLeftCell="G8" activePane="bottomRight" state="frozen"/>
      <selection pane="bottomRight" activeCell="C3" sqref="C3:S3"/>
      <pageMargins left="0.7" right="0.7" top="0.75" bottom="0.75" header="0.3" footer="0.3"/>
    </customSheetView>
    <customSheetView guid="{A4AF2100-C59D-4F60-9EAB-56D9103463F7}" scale="80">
      <pane xSplit="6" ySplit="7" topLeftCell="G8" activePane="bottomRight" state="frozen"/>
      <selection pane="bottomRight" activeCell="C3" sqref="C3:S3"/>
      <pageMargins left="0.7" right="0.7" top="0.75" bottom="0.75" header="0.3" footer="0.3"/>
    </customSheetView>
    <customSheetView guid="{AB9978E4-895D-4050-8F07-2484E22632D1}" scale="80">
      <pane xSplit="6" ySplit="7" topLeftCell="G17" activePane="bottomRight" state="frozen"/>
      <selection pane="bottomRight" activeCell="C3" sqref="C3:S3"/>
      <pageMargins left="0.7" right="0.7" top="0.75" bottom="0.75" header="0.3" footer="0.3"/>
    </customSheetView>
    <customSheetView guid="{519948E4-0B24-465F-9D9E-44BE50D1D647}" scale="80">
      <pane xSplit="6" ySplit="7" topLeftCell="G8" activePane="bottomRight" state="frozen"/>
      <selection pane="bottomRight" activeCell="C3" sqref="C3:S3"/>
      <pageMargins left="0.7" right="0.7" top="0.75" bottom="0.75" header="0.3" footer="0.3"/>
    </customSheetView>
    <customSheetView guid="{C7DC638A-7F60-46C9-A1FB-9ADEAE87F332}" scale="80">
      <pane xSplit="6" ySplit="7" topLeftCell="K8" activePane="bottomRight" state="frozen"/>
      <selection pane="bottomRight" activeCell="AH19" sqref="AH19"/>
      <pageMargins left="0.7" right="0.7" top="0.75" bottom="0.75" header="0.3" footer="0.3"/>
    </customSheetView>
    <customSheetView guid="{2A5A11D4-90C6-4A3E-8165-7D7BD634B22F}" scale="80">
      <pane xSplit="6" ySplit="7" topLeftCell="G8" activePane="bottomRight" state="frozen"/>
      <selection pane="bottomRight" activeCell="C3" sqref="C3:S3"/>
      <pageMargins left="0.7" right="0.7" top="0.75" bottom="0.75" header="0.3" footer="0.3"/>
    </customSheetView>
    <customSheetView guid="{562453CE-35F5-40A3-AD14-6399D1197C99}" scale="80">
      <pane xSplit="6" ySplit="7" topLeftCell="G8" activePane="bottomRight" state="frozen"/>
      <selection pane="bottomRight" activeCell="C3" sqref="C3:S3"/>
      <pageMargins left="0.7" right="0.7" top="0.75" bottom="0.75" header="0.3" footer="0.3"/>
    </customSheetView>
    <customSheetView guid="{B6B60ED6-A6CC-4DA7-A8CA-5E6DB52D5A87}" scale="80">
      <pane xSplit="6" ySplit="7" topLeftCell="G8" activePane="bottomRight" state="frozen"/>
      <selection pane="bottomRight" activeCell="C3" sqref="C3:S3"/>
      <pageMargins left="0.7" right="0.7" top="0.75" bottom="0.75" header="0.3" footer="0.3"/>
    </customSheetView>
    <customSheetView guid="{133BB3F8-8DD4-4AEF-8CD6-A5FB14681329}" scale="80">
      <pane xSplit="6" ySplit="7" topLeftCell="G8" activePane="bottomRight" state="frozen"/>
      <selection pane="bottomRight" activeCell="C3" sqref="C3:S3"/>
      <pageMargins left="0.7" right="0.7" top="0.75" bottom="0.75" header="0.3" footer="0.3"/>
    </customSheetView>
    <customSheetView guid="{5DF2C78B-5EE4-439D-8D72-8D3A913B65F9}" scale="80">
      <pane xSplit="6" ySplit="7" topLeftCell="K8" activePane="bottomRight" state="frozen"/>
      <selection pane="bottomRight" activeCell="AH19" sqref="AH19"/>
      <pageMargins left="0.7" right="0.7" top="0.75" bottom="0.75" header="0.3" footer="0.3"/>
    </customSheetView>
    <customSheetView guid="{60A1F930-4BEC-460A-8E14-01E47F6DD055}" scale="80">
      <pane xSplit="6" ySplit="7" topLeftCell="G8" activePane="bottomRight" state="frozen"/>
      <selection pane="bottomRight" activeCell="C3" sqref="C3:S3"/>
      <pageMargins left="0.7" right="0.7" top="0.75" bottom="0.75" header="0.3" footer="0.3"/>
    </customSheetView>
    <customSheetView guid="{7C5A2A36-3D69-43D9-9018-A52C27EC78F9}" scale="80">
      <pane xSplit="6" ySplit="7" topLeftCell="K8" activePane="bottomRight" state="frozen"/>
      <selection pane="bottomRight" activeCell="AH19" sqref="AH19"/>
      <pageMargins left="0.7" right="0.7" top="0.75" bottom="0.75" header="0.3" footer="0.3"/>
    </customSheetView>
    <customSheetView guid="{C282AA4E-1BB5-4296-9AC6-844C0F88E5FC}" scale="80">
      <pane xSplit="6" ySplit="7" topLeftCell="G8" activePane="bottomRight" state="frozen"/>
      <selection pane="bottomRight" activeCell="AH14" sqref="AH14"/>
      <pageMargins left="0.7" right="0.7" top="0.75" bottom="0.75" header="0.3" footer="0.3"/>
    </customSheetView>
    <customSheetView guid="{996EC2F0-F6EC-4E63-A83E-34865157BD8D}" scale="80">
      <pane xSplit="6" ySplit="7" topLeftCell="G8" activePane="bottomRight" state="frozen"/>
      <selection pane="bottomRight" activeCell="C3" sqref="C3:S3"/>
      <pageMargins left="0.7" right="0.7" top="0.75" bottom="0.75" header="0.3" footer="0.3"/>
    </customSheetView>
    <customSheetView guid="{AFADB96A-0516-43C1-9F1B-0604F3CAC04A}" scale="80">
      <pane xSplit="6" ySplit="7" topLeftCell="G8" activePane="bottomRight" state="frozen"/>
      <selection pane="bottomRight" activeCell="C3" sqref="C3:S3"/>
      <pageMargins left="0.7" right="0.7" top="0.75" bottom="0.75" header="0.3" footer="0.3"/>
    </customSheetView>
  </customSheetViews>
  <mergeCells count="35">
    <mergeCell ref="B16:B17"/>
    <mergeCell ref="A16:A17"/>
    <mergeCell ref="B18:B19"/>
    <mergeCell ref="A18:A19"/>
    <mergeCell ref="B11:B12"/>
    <mergeCell ref="A11:A12"/>
    <mergeCell ref="A8:A9"/>
    <mergeCell ref="B13:AG13"/>
    <mergeCell ref="B14:B15"/>
    <mergeCell ref="A14:A15"/>
    <mergeCell ref="A4:A6"/>
    <mergeCell ref="B4:B6"/>
    <mergeCell ref="B8:B9"/>
    <mergeCell ref="B10:AG10"/>
    <mergeCell ref="T4:U5"/>
    <mergeCell ref="V4:W5"/>
    <mergeCell ref="X4:Y5"/>
    <mergeCell ref="Z4:AA5"/>
    <mergeCell ref="AB4:AC5"/>
    <mergeCell ref="AD4:AE5"/>
    <mergeCell ref="AF4:AG5"/>
    <mergeCell ref="AH4:AH6"/>
    <mergeCell ref="C2:S2"/>
    <mergeCell ref="C3:S3"/>
    <mergeCell ref="C4:C6"/>
    <mergeCell ref="D4:D5"/>
    <mergeCell ref="E4:E5"/>
    <mergeCell ref="F4:F5"/>
    <mergeCell ref="G4:G5"/>
    <mergeCell ref="H4:I5"/>
    <mergeCell ref="J4:K5"/>
    <mergeCell ref="L4:M5"/>
    <mergeCell ref="N4:O5"/>
    <mergeCell ref="P4:Q5"/>
    <mergeCell ref="R4:S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I44"/>
  <sheetViews>
    <sheetView zoomScale="80" zoomScaleNormal="80" workbookViewId="0">
      <pane xSplit="6" ySplit="7" topLeftCell="G10" activePane="bottomRight" state="frozen"/>
      <selection pane="topRight" activeCell="G1" sqref="G1"/>
      <selection pane="bottomLeft" activeCell="A8" sqref="A8"/>
      <selection pane="bottomRight" activeCell="L20" sqref="L20"/>
    </sheetView>
  </sheetViews>
  <sheetFormatPr defaultColWidth="9.140625" defaultRowHeight="15" x14ac:dyDescent="0.25"/>
  <cols>
    <col min="1" max="1" width="6.5703125" style="8" customWidth="1"/>
    <col min="2" max="2" width="42.140625" style="8" customWidth="1"/>
    <col min="3" max="3" width="18.5703125" style="9" customWidth="1"/>
    <col min="4" max="4" width="18" style="8" customWidth="1"/>
    <col min="5" max="5" width="14.7109375" style="8" customWidth="1"/>
    <col min="6" max="6" width="15" style="8" customWidth="1"/>
    <col min="7" max="7" width="13.85546875" style="8" customWidth="1"/>
    <col min="8" max="8" width="12.140625" style="8" customWidth="1"/>
    <col min="9" max="9" width="10.85546875" style="8" customWidth="1"/>
    <col min="10" max="10" width="14.28515625" style="8" customWidth="1"/>
    <col min="11" max="11" width="13.5703125" style="8" customWidth="1"/>
    <col min="12" max="12" width="13.85546875" style="8" customWidth="1"/>
    <col min="13" max="13" width="13" style="8" customWidth="1"/>
    <col min="14" max="14" width="13.42578125" style="8" customWidth="1"/>
    <col min="15" max="15" width="11.5703125" style="8" customWidth="1"/>
    <col min="16" max="16" width="13.4257812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6.140625" style="8" customWidth="1"/>
    <col min="27" max="27" width="11.5703125" style="8" customWidth="1"/>
    <col min="28" max="28" width="14.85546875" style="8" customWidth="1"/>
    <col min="29" max="29" width="11.5703125" style="8" customWidth="1"/>
    <col min="30" max="30" width="13.42578125" style="8" customWidth="1"/>
    <col min="31" max="31" width="11.5703125" style="8" customWidth="1"/>
    <col min="32" max="32" width="16.28515625" style="8" customWidth="1"/>
    <col min="33" max="33" width="13" style="8" customWidth="1"/>
    <col min="34" max="34" width="38.5703125" style="8" customWidth="1"/>
    <col min="35" max="16384" width="9.140625" style="8"/>
  </cols>
  <sheetData>
    <row r="1" spans="1:35" s="10" customFormat="1" ht="23.25" customHeight="1" x14ac:dyDescent="0.25">
      <c r="C1" s="12"/>
      <c r="D1" s="13"/>
      <c r="E1" s="13"/>
      <c r="F1" s="13"/>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5" s="10" customFormat="1" ht="15.75" x14ac:dyDescent="0.25">
      <c r="A2" s="55"/>
      <c r="B2" s="55"/>
      <c r="C2" s="346" t="s">
        <v>24</v>
      </c>
      <c r="D2" s="346"/>
      <c r="E2" s="346"/>
      <c r="F2" s="346"/>
      <c r="G2" s="346"/>
      <c r="H2" s="346"/>
      <c r="I2" s="346"/>
      <c r="J2" s="346"/>
      <c r="K2" s="346"/>
      <c r="L2" s="346"/>
      <c r="M2" s="346"/>
      <c r="N2" s="346"/>
      <c r="O2" s="346"/>
      <c r="P2" s="346"/>
      <c r="Q2" s="346"/>
      <c r="R2" s="346"/>
      <c r="S2" s="346"/>
      <c r="T2" s="35"/>
      <c r="U2" s="35"/>
      <c r="V2" s="35"/>
      <c r="W2" s="35"/>
      <c r="X2" s="35"/>
      <c r="Y2" s="35"/>
      <c r="Z2" s="35"/>
      <c r="AA2" s="35"/>
      <c r="AB2" s="35"/>
      <c r="AC2" s="35"/>
      <c r="AD2" s="35"/>
      <c r="AE2" s="35"/>
      <c r="AF2" s="35"/>
      <c r="AG2" s="35"/>
      <c r="AH2" s="35"/>
    </row>
    <row r="3" spans="1:35" s="10" customFormat="1" ht="36.75" customHeight="1" x14ac:dyDescent="0.25">
      <c r="A3" s="55"/>
      <c r="B3" s="55"/>
      <c r="C3" s="347" t="s">
        <v>110</v>
      </c>
      <c r="D3" s="347"/>
      <c r="E3" s="347"/>
      <c r="F3" s="347"/>
      <c r="G3" s="347"/>
      <c r="H3" s="347"/>
      <c r="I3" s="347"/>
      <c r="J3" s="347"/>
      <c r="K3" s="347"/>
      <c r="L3" s="347"/>
      <c r="M3" s="347"/>
      <c r="N3" s="347"/>
      <c r="O3" s="347"/>
      <c r="P3" s="347"/>
      <c r="Q3" s="347"/>
      <c r="R3" s="347"/>
      <c r="S3" s="347"/>
      <c r="T3" s="36"/>
      <c r="U3" s="36"/>
      <c r="V3" s="36"/>
      <c r="W3" s="36"/>
      <c r="X3" s="36"/>
      <c r="Y3" s="36"/>
      <c r="Z3" s="36"/>
      <c r="AA3" s="36"/>
      <c r="AB3" s="36"/>
      <c r="AC3" s="36"/>
      <c r="AD3" s="37"/>
      <c r="AE3" s="37"/>
      <c r="AF3" s="37"/>
      <c r="AG3" s="37" t="s">
        <v>0</v>
      </c>
      <c r="AH3" s="37"/>
    </row>
    <row r="4" spans="1:35" s="10" customFormat="1" ht="15" customHeight="1" x14ac:dyDescent="0.25">
      <c r="A4" s="348" t="s">
        <v>26</v>
      </c>
      <c r="B4" s="351" t="s">
        <v>29</v>
      </c>
      <c r="C4" s="351" t="s">
        <v>30</v>
      </c>
      <c r="D4" s="359"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10" customFormat="1" ht="39" customHeight="1" x14ac:dyDescent="0.25">
      <c r="A5" s="349"/>
      <c r="B5" s="352"/>
      <c r="C5" s="352"/>
      <c r="D5" s="360"/>
      <c r="E5" s="360"/>
      <c r="F5" s="360"/>
      <c r="G5" s="360"/>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5" s="10" customFormat="1" ht="64.5" customHeight="1" x14ac:dyDescent="0.25">
      <c r="A6" s="350"/>
      <c r="B6" s="353"/>
      <c r="C6" s="353"/>
      <c r="D6" s="38">
        <v>2025</v>
      </c>
      <c r="E6" s="39">
        <v>45689</v>
      </c>
      <c r="F6" s="39">
        <v>45689</v>
      </c>
      <c r="G6" s="39">
        <v>45689</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32" customFormat="1" ht="15.75" x14ac:dyDescent="0.25">
      <c r="A7" s="40">
        <v>1</v>
      </c>
      <c r="B7" s="40">
        <v>2</v>
      </c>
      <c r="C7" s="40">
        <v>3</v>
      </c>
      <c r="D7" s="40">
        <v>4</v>
      </c>
      <c r="E7" s="40">
        <v>5</v>
      </c>
      <c r="F7" s="40">
        <v>6</v>
      </c>
      <c r="G7" s="40">
        <v>7</v>
      </c>
      <c r="H7" s="40">
        <v>8</v>
      </c>
      <c r="I7" s="40">
        <v>9</v>
      </c>
      <c r="J7" s="40">
        <v>10</v>
      </c>
      <c r="K7" s="40">
        <v>11</v>
      </c>
      <c r="L7" s="40">
        <v>12</v>
      </c>
      <c r="M7" s="40">
        <v>13</v>
      </c>
      <c r="N7" s="40">
        <v>14</v>
      </c>
      <c r="O7" s="40">
        <v>15</v>
      </c>
      <c r="P7" s="40">
        <v>16</v>
      </c>
      <c r="Q7" s="40">
        <v>17</v>
      </c>
      <c r="R7" s="40">
        <v>18</v>
      </c>
      <c r="S7" s="40">
        <v>19</v>
      </c>
      <c r="T7" s="40">
        <v>20</v>
      </c>
      <c r="U7" s="40">
        <v>21</v>
      </c>
      <c r="V7" s="40">
        <v>22</v>
      </c>
      <c r="W7" s="40">
        <v>23</v>
      </c>
      <c r="X7" s="40">
        <v>24</v>
      </c>
      <c r="Y7" s="40">
        <v>25</v>
      </c>
      <c r="Z7" s="40">
        <v>26</v>
      </c>
      <c r="AA7" s="40">
        <v>27</v>
      </c>
      <c r="AB7" s="40">
        <v>28</v>
      </c>
      <c r="AC7" s="40">
        <v>29</v>
      </c>
      <c r="AD7" s="40">
        <v>30</v>
      </c>
      <c r="AE7" s="40">
        <v>31</v>
      </c>
      <c r="AF7" s="40">
        <v>32</v>
      </c>
      <c r="AG7" s="40">
        <v>33</v>
      </c>
      <c r="AH7" s="40">
        <v>34</v>
      </c>
    </row>
    <row r="8" spans="1:35" s="25" customFormat="1" ht="31.5" customHeight="1" x14ac:dyDescent="0.25">
      <c r="A8" s="364"/>
      <c r="B8" s="367" t="s">
        <v>23</v>
      </c>
      <c r="C8" s="69" t="s">
        <v>20</v>
      </c>
      <c r="D8" s="70">
        <f>D9+D10+D11</f>
        <v>636574.86599999992</v>
      </c>
      <c r="E8" s="70">
        <f t="shared" ref="E8:G8" si="0">E9+E10+E11</f>
        <v>31464.485000000001</v>
      </c>
      <c r="F8" s="70">
        <f t="shared" si="0"/>
        <v>0</v>
      </c>
      <c r="G8" s="70">
        <f t="shared" si="0"/>
        <v>0</v>
      </c>
      <c r="H8" s="70">
        <f>IFERROR(G8/D8*100,0)</f>
        <v>0</v>
      </c>
      <c r="I8" s="70">
        <f>IFERROR(G8/E8*100,0)</f>
        <v>0</v>
      </c>
      <c r="J8" s="71">
        <f>J9+J10+J11</f>
        <v>31464.485000000001</v>
      </c>
      <c r="K8" s="71">
        <f t="shared" ref="K8:AG8" si="1">K9+K10+K11</f>
        <v>0</v>
      </c>
      <c r="L8" s="71">
        <f t="shared" si="1"/>
        <v>36606.519999999997</v>
      </c>
      <c r="M8" s="71">
        <f t="shared" si="1"/>
        <v>0</v>
      </c>
      <c r="N8" s="71">
        <f t="shared" si="1"/>
        <v>33496.401000000005</v>
      </c>
      <c r="O8" s="71">
        <f t="shared" si="1"/>
        <v>0</v>
      </c>
      <c r="P8" s="71">
        <f t="shared" si="1"/>
        <v>36071.731</v>
      </c>
      <c r="Q8" s="71">
        <f t="shared" si="1"/>
        <v>0</v>
      </c>
      <c r="R8" s="71">
        <f t="shared" si="1"/>
        <v>26960.693000000003</v>
      </c>
      <c r="S8" s="71">
        <f t="shared" si="1"/>
        <v>0</v>
      </c>
      <c r="T8" s="71">
        <f t="shared" si="1"/>
        <v>27603.167000000001</v>
      </c>
      <c r="U8" s="71">
        <f t="shared" si="1"/>
        <v>0</v>
      </c>
      <c r="V8" s="71">
        <f t="shared" si="1"/>
        <v>25318.237999999998</v>
      </c>
      <c r="W8" s="71">
        <f t="shared" si="1"/>
        <v>0</v>
      </c>
      <c r="X8" s="71">
        <f t="shared" si="1"/>
        <v>21774.355</v>
      </c>
      <c r="Y8" s="71">
        <f t="shared" si="1"/>
        <v>0</v>
      </c>
      <c r="Z8" s="71">
        <f t="shared" si="1"/>
        <v>29937.252</v>
      </c>
      <c r="AA8" s="71">
        <f t="shared" si="1"/>
        <v>0</v>
      </c>
      <c r="AB8" s="71">
        <f t="shared" si="1"/>
        <v>69044.695000000007</v>
      </c>
      <c r="AC8" s="71">
        <f t="shared" si="1"/>
        <v>0</v>
      </c>
      <c r="AD8" s="71">
        <f t="shared" si="1"/>
        <v>25027.715000000004</v>
      </c>
      <c r="AE8" s="71">
        <f t="shared" si="1"/>
        <v>0</v>
      </c>
      <c r="AF8" s="71">
        <f t="shared" si="1"/>
        <v>273269.614</v>
      </c>
      <c r="AG8" s="71">
        <f t="shared" si="1"/>
        <v>0</v>
      </c>
      <c r="AH8" s="72"/>
    </row>
    <row r="9" spans="1:35" s="26" customFormat="1" ht="62.25" customHeight="1" x14ac:dyDescent="0.25">
      <c r="A9" s="365"/>
      <c r="B9" s="368"/>
      <c r="C9" s="73" t="s">
        <v>22</v>
      </c>
      <c r="D9" s="74">
        <f>J9+L9+N9+P9+R9+T9+V9+X9+Z9+AB9+AD9+AF9</f>
        <v>188848.4</v>
      </c>
      <c r="E9" s="74">
        <f>J9</f>
        <v>0</v>
      </c>
      <c r="F9" s="74">
        <f>G9</f>
        <v>0</v>
      </c>
      <c r="G9" s="74">
        <f>K9+M9+O9+Q9+S9+U9+W9+Y9+AA9+AC9+AE9+AG9</f>
        <v>0</v>
      </c>
      <c r="H9" s="74">
        <f t="shared" ref="H9" si="2">IFERROR(G9/D9*100,0)</f>
        <v>0</v>
      </c>
      <c r="I9" s="74">
        <f t="shared" ref="I9" si="3">IFERROR(G9/E9*100,0)</f>
        <v>0</v>
      </c>
      <c r="J9" s="74">
        <f>J20+J23</f>
        <v>0</v>
      </c>
      <c r="K9" s="74">
        <f t="shared" ref="K9:AG9" si="4">K20+K23</f>
        <v>0</v>
      </c>
      <c r="L9" s="74">
        <f t="shared" si="4"/>
        <v>0</v>
      </c>
      <c r="M9" s="74">
        <f t="shared" si="4"/>
        <v>0</v>
      </c>
      <c r="N9" s="74">
        <f t="shared" si="4"/>
        <v>0</v>
      </c>
      <c r="O9" s="74">
        <f t="shared" si="4"/>
        <v>0</v>
      </c>
      <c r="P9" s="74">
        <f t="shared" si="4"/>
        <v>0</v>
      </c>
      <c r="Q9" s="74">
        <f t="shared" si="4"/>
        <v>0</v>
      </c>
      <c r="R9" s="74">
        <f t="shared" si="4"/>
        <v>0</v>
      </c>
      <c r="S9" s="74">
        <f t="shared" si="4"/>
        <v>0</v>
      </c>
      <c r="T9" s="74">
        <f t="shared" si="4"/>
        <v>0</v>
      </c>
      <c r="U9" s="74">
        <f t="shared" si="4"/>
        <v>0</v>
      </c>
      <c r="V9" s="74">
        <f t="shared" si="4"/>
        <v>0</v>
      </c>
      <c r="W9" s="74">
        <f t="shared" si="4"/>
        <v>0</v>
      </c>
      <c r="X9" s="74">
        <f t="shared" si="4"/>
        <v>0</v>
      </c>
      <c r="Y9" s="74">
        <f t="shared" si="4"/>
        <v>0</v>
      </c>
      <c r="Z9" s="74">
        <f t="shared" si="4"/>
        <v>0</v>
      </c>
      <c r="AA9" s="74">
        <f t="shared" si="4"/>
        <v>0</v>
      </c>
      <c r="AB9" s="74">
        <f t="shared" si="4"/>
        <v>26873.4</v>
      </c>
      <c r="AC9" s="74">
        <f t="shared" si="4"/>
        <v>0</v>
      </c>
      <c r="AD9" s="74">
        <f t="shared" si="4"/>
        <v>0</v>
      </c>
      <c r="AE9" s="74">
        <f t="shared" si="4"/>
        <v>0</v>
      </c>
      <c r="AF9" s="74">
        <f t="shared" si="4"/>
        <v>161975</v>
      </c>
      <c r="AG9" s="74">
        <f t="shared" si="4"/>
        <v>0</v>
      </c>
      <c r="AH9" s="75"/>
    </row>
    <row r="10" spans="1:35" s="26" customFormat="1" ht="57.75" customHeight="1" x14ac:dyDescent="0.25">
      <c r="A10" s="365"/>
      <c r="B10" s="368"/>
      <c r="C10" s="73" t="s">
        <v>21</v>
      </c>
      <c r="D10" s="74">
        <f t="shared" ref="D10:D11" si="5">J10+L10+N10+P10+R10+T10+V10+X10+Z10+AB10+AD10+AF10</f>
        <v>431203.46599999996</v>
      </c>
      <c r="E10" s="74">
        <f t="shared" ref="E10:E11" si="6">J10</f>
        <v>30262.645</v>
      </c>
      <c r="F10" s="74">
        <f t="shared" ref="F10:F11" si="7">G10</f>
        <v>0</v>
      </c>
      <c r="G10" s="74">
        <f t="shared" ref="G10:G11" si="8">K10+M10+O10+Q10+S10+U10+W10+Y10+AA10+AC10+AE10+AG10</f>
        <v>0</v>
      </c>
      <c r="H10" s="74">
        <f>IFERROR(G10/D10*100,0)</f>
        <v>0</v>
      </c>
      <c r="I10" s="74">
        <f>IFERROR(G10/E10*100,0)</f>
        <v>0</v>
      </c>
      <c r="J10" s="74">
        <f>J16+J21+J24+J44</f>
        <v>30262.645</v>
      </c>
      <c r="K10" s="74">
        <f t="shared" ref="K10:AG10" si="9">K16+K21+K24+K44</f>
        <v>0</v>
      </c>
      <c r="L10" s="74">
        <f t="shared" si="9"/>
        <v>35442.039999999994</v>
      </c>
      <c r="M10" s="74">
        <f t="shared" si="9"/>
        <v>0</v>
      </c>
      <c r="N10" s="74">
        <f t="shared" si="9"/>
        <v>31983.441000000003</v>
      </c>
      <c r="O10" s="74">
        <f t="shared" si="9"/>
        <v>0</v>
      </c>
      <c r="P10" s="74">
        <f t="shared" si="9"/>
        <v>34684.455000000002</v>
      </c>
      <c r="Q10" s="74">
        <f t="shared" si="9"/>
        <v>0</v>
      </c>
      <c r="R10" s="74">
        <f t="shared" si="9"/>
        <v>25703.945000000003</v>
      </c>
      <c r="S10" s="74">
        <f t="shared" si="9"/>
        <v>0</v>
      </c>
      <c r="T10" s="74">
        <f t="shared" si="9"/>
        <v>26080.794000000002</v>
      </c>
      <c r="U10" s="74">
        <f t="shared" si="9"/>
        <v>0</v>
      </c>
      <c r="V10" s="74">
        <f t="shared" si="9"/>
        <v>23656.353999999999</v>
      </c>
      <c r="W10" s="74">
        <f t="shared" si="9"/>
        <v>0</v>
      </c>
      <c r="X10" s="74">
        <f t="shared" si="9"/>
        <v>19844.398000000001</v>
      </c>
      <c r="Y10" s="74">
        <f t="shared" si="9"/>
        <v>0</v>
      </c>
      <c r="Z10" s="74">
        <f t="shared" si="9"/>
        <v>28762.376</v>
      </c>
      <c r="AA10" s="74">
        <f t="shared" si="9"/>
        <v>0</v>
      </c>
      <c r="AB10" s="74">
        <f t="shared" si="9"/>
        <v>40891.800999999992</v>
      </c>
      <c r="AC10" s="74">
        <f t="shared" si="9"/>
        <v>0</v>
      </c>
      <c r="AD10" s="74">
        <f t="shared" si="9"/>
        <v>23771.177000000003</v>
      </c>
      <c r="AE10" s="74">
        <f t="shared" si="9"/>
        <v>0</v>
      </c>
      <c r="AF10" s="74">
        <f t="shared" si="9"/>
        <v>110120.04</v>
      </c>
      <c r="AG10" s="74">
        <f t="shared" si="9"/>
        <v>0</v>
      </c>
      <c r="AH10" s="75"/>
    </row>
    <row r="11" spans="1:35" s="26" customFormat="1" ht="41.25" customHeight="1" x14ac:dyDescent="0.25">
      <c r="A11" s="366"/>
      <c r="B11" s="369"/>
      <c r="C11" s="65" t="s">
        <v>40</v>
      </c>
      <c r="D11" s="74">
        <f t="shared" si="5"/>
        <v>16523</v>
      </c>
      <c r="E11" s="74">
        <f t="shared" si="6"/>
        <v>1201.8399999999999</v>
      </c>
      <c r="F11" s="74">
        <f t="shared" si="7"/>
        <v>0</v>
      </c>
      <c r="G11" s="74">
        <f t="shared" si="8"/>
        <v>0</v>
      </c>
      <c r="H11" s="74">
        <f>IFERROR(G11/D11*100,0)</f>
        <v>0</v>
      </c>
      <c r="I11" s="74">
        <f>IFERROR(G11/E11*100,0)</f>
        <v>0</v>
      </c>
      <c r="J11" s="74">
        <f>J25</f>
        <v>1201.8399999999999</v>
      </c>
      <c r="K11" s="74">
        <f t="shared" ref="K11:AG11" si="10">K25</f>
        <v>0</v>
      </c>
      <c r="L11" s="74">
        <f t="shared" si="10"/>
        <v>1164.48</v>
      </c>
      <c r="M11" s="74">
        <f t="shared" si="10"/>
        <v>0</v>
      </c>
      <c r="N11" s="74">
        <f t="shared" si="10"/>
        <v>1512.96</v>
      </c>
      <c r="O11" s="74">
        <f t="shared" si="10"/>
        <v>0</v>
      </c>
      <c r="P11" s="74">
        <f t="shared" si="10"/>
        <v>1387.2760000000001</v>
      </c>
      <c r="Q11" s="74">
        <f t="shared" si="10"/>
        <v>0</v>
      </c>
      <c r="R11" s="74">
        <f t="shared" si="10"/>
        <v>1256.748</v>
      </c>
      <c r="S11" s="74">
        <f t="shared" si="10"/>
        <v>0</v>
      </c>
      <c r="T11" s="74">
        <f t="shared" si="10"/>
        <v>1522.373</v>
      </c>
      <c r="U11" s="74">
        <f t="shared" si="10"/>
        <v>0</v>
      </c>
      <c r="V11" s="74">
        <f t="shared" si="10"/>
        <v>1661.884</v>
      </c>
      <c r="W11" s="74">
        <f t="shared" si="10"/>
        <v>0</v>
      </c>
      <c r="X11" s="74">
        <f t="shared" si="10"/>
        <v>1929.9570000000001</v>
      </c>
      <c r="Y11" s="74">
        <f t="shared" si="10"/>
        <v>0</v>
      </c>
      <c r="Z11" s="74">
        <f t="shared" si="10"/>
        <v>1174.876</v>
      </c>
      <c r="AA11" s="74">
        <f t="shared" si="10"/>
        <v>0</v>
      </c>
      <c r="AB11" s="74">
        <f t="shared" si="10"/>
        <v>1279.4939999999999</v>
      </c>
      <c r="AC11" s="74">
        <f t="shared" si="10"/>
        <v>0</v>
      </c>
      <c r="AD11" s="74">
        <f t="shared" si="10"/>
        <v>1256.538</v>
      </c>
      <c r="AE11" s="74">
        <f t="shared" si="10"/>
        <v>0</v>
      </c>
      <c r="AF11" s="74">
        <f t="shared" si="10"/>
        <v>1174.5740000000001</v>
      </c>
      <c r="AG11" s="74">
        <f t="shared" si="10"/>
        <v>0</v>
      </c>
      <c r="AH11" s="75"/>
    </row>
    <row r="12" spans="1:35" s="18" customFormat="1" ht="18.75" customHeight="1" x14ac:dyDescent="0.25">
      <c r="A12" s="68"/>
      <c r="B12" s="370" t="s">
        <v>85</v>
      </c>
      <c r="C12" s="371"/>
      <c r="D12" s="371"/>
      <c r="E12" s="371"/>
      <c r="F12" s="371"/>
      <c r="G12" s="371"/>
      <c r="H12" s="371"/>
      <c r="I12" s="371"/>
      <c r="J12" s="371"/>
      <c r="K12" s="371"/>
      <c r="L12" s="371"/>
      <c r="M12" s="371"/>
      <c r="N12" s="371"/>
      <c r="O12" s="371"/>
      <c r="P12" s="371"/>
      <c r="Q12" s="371"/>
      <c r="R12" s="371"/>
      <c r="S12" s="371"/>
      <c r="T12" s="371"/>
      <c r="U12" s="371"/>
      <c r="V12" s="371"/>
      <c r="W12" s="371"/>
      <c r="X12" s="371"/>
      <c r="Y12" s="371"/>
      <c r="Z12" s="371"/>
      <c r="AA12" s="371"/>
      <c r="AB12" s="371"/>
      <c r="AC12" s="371"/>
      <c r="AD12" s="371"/>
      <c r="AE12" s="371"/>
      <c r="AF12" s="371"/>
      <c r="AG12" s="372"/>
      <c r="AH12" s="46"/>
    </row>
    <row r="13" spans="1:35" s="21" customFormat="1" ht="109.5" customHeight="1" x14ac:dyDescent="0.25">
      <c r="A13" s="373" t="s">
        <v>37</v>
      </c>
      <c r="B13" s="361" t="s">
        <v>90</v>
      </c>
      <c r="C13" s="57" t="s">
        <v>20</v>
      </c>
      <c r="D13" s="58">
        <f>D15+D16+D14</f>
        <v>59670.703000000001</v>
      </c>
      <c r="E13" s="58">
        <f t="shared" ref="E13:AG13" si="11">E15+E16+E14</f>
        <v>3444.34</v>
      </c>
      <c r="F13" s="58">
        <f t="shared" si="11"/>
        <v>0</v>
      </c>
      <c r="G13" s="58">
        <f t="shared" si="11"/>
        <v>0</v>
      </c>
      <c r="H13" s="58">
        <f t="shared" ref="H13:H44" si="12">IFERROR(G13/D13*100,0)</f>
        <v>0</v>
      </c>
      <c r="I13" s="58">
        <f t="shared" ref="I13:I44" si="13">IFERROR(G13/E13*100,0)</f>
        <v>0</v>
      </c>
      <c r="J13" s="58">
        <f t="shared" si="11"/>
        <v>3444.34</v>
      </c>
      <c r="K13" s="58">
        <f t="shared" si="11"/>
        <v>0</v>
      </c>
      <c r="L13" s="58">
        <f t="shared" si="11"/>
        <v>5022.3339999999998</v>
      </c>
      <c r="M13" s="58">
        <f t="shared" si="11"/>
        <v>0</v>
      </c>
      <c r="N13" s="58">
        <f t="shared" si="11"/>
        <v>4615.8639999999996</v>
      </c>
      <c r="O13" s="58">
        <f t="shared" si="11"/>
        <v>0</v>
      </c>
      <c r="P13" s="58">
        <f t="shared" si="11"/>
        <v>5074.71</v>
      </c>
      <c r="Q13" s="58">
        <f t="shared" si="11"/>
        <v>0</v>
      </c>
      <c r="R13" s="58">
        <f t="shared" si="11"/>
        <v>4939.22</v>
      </c>
      <c r="S13" s="58">
        <f t="shared" si="11"/>
        <v>0</v>
      </c>
      <c r="T13" s="58">
        <f t="shared" si="11"/>
        <v>6485.4279999999999</v>
      </c>
      <c r="U13" s="58">
        <f t="shared" si="11"/>
        <v>0</v>
      </c>
      <c r="V13" s="58">
        <f t="shared" si="11"/>
        <v>4927.71</v>
      </c>
      <c r="W13" s="58">
        <f t="shared" si="11"/>
        <v>0</v>
      </c>
      <c r="X13" s="58">
        <f t="shared" si="11"/>
        <v>5121.0910000000003</v>
      </c>
      <c r="Y13" s="58">
        <f t="shared" si="11"/>
        <v>0</v>
      </c>
      <c r="Z13" s="58">
        <f t="shared" si="11"/>
        <v>5099.9530000000004</v>
      </c>
      <c r="AA13" s="58">
        <f t="shared" si="11"/>
        <v>0</v>
      </c>
      <c r="AB13" s="58">
        <f t="shared" si="11"/>
        <v>4939.2190000000001</v>
      </c>
      <c r="AC13" s="58">
        <f t="shared" si="11"/>
        <v>0</v>
      </c>
      <c r="AD13" s="58">
        <f t="shared" si="11"/>
        <v>5100.8959999999997</v>
      </c>
      <c r="AE13" s="58">
        <f t="shared" si="11"/>
        <v>0</v>
      </c>
      <c r="AF13" s="58">
        <f t="shared" si="11"/>
        <v>4899.9380000000001</v>
      </c>
      <c r="AG13" s="58">
        <f t="shared" si="11"/>
        <v>0</v>
      </c>
      <c r="AH13" s="60"/>
      <c r="AI13" s="23"/>
    </row>
    <row r="14" spans="1:35" s="21" customFormat="1" ht="42.75" hidden="1" customHeight="1" x14ac:dyDescent="0.25">
      <c r="A14" s="374"/>
      <c r="B14" s="362"/>
      <c r="C14" s="61" t="s">
        <v>52</v>
      </c>
      <c r="D14" s="62">
        <f>SUM(J14,L14,N14,P14,R14,T14,V14,X14,Z14,AB14,AD14,AF14)</f>
        <v>0</v>
      </c>
      <c r="E14" s="62">
        <f>J14</f>
        <v>0</v>
      </c>
      <c r="F14" s="62">
        <f>G14</f>
        <v>0</v>
      </c>
      <c r="G14" s="62">
        <f>SUM(K14,M14,O14,Q14,S14,U14,W14,Y14,AA14,AC14,AE14,AG14)</f>
        <v>0</v>
      </c>
      <c r="H14" s="62">
        <f t="shared" si="12"/>
        <v>0</v>
      </c>
      <c r="I14" s="62">
        <f t="shared" si="13"/>
        <v>0</v>
      </c>
      <c r="J14" s="62">
        <v>0</v>
      </c>
      <c r="K14" s="62">
        <v>0</v>
      </c>
      <c r="L14" s="62">
        <v>0</v>
      </c>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0"/>
      <c r="AI14" s="23"/>
    </row>
    <row r="15" spans="1:35" s="21" customFormat="1" ht="57" hidden="1" customHeight="1" x14ac:dyDescent="0.25">
      <c r="A15" s="374"/>
      <c r="B15" s="362"/>
      <c r="C15" s="61" t="s">
        <v>22</v>
      </c>
      <c r="D15" s="62">
        <f>SUM(J15,L15,N15,P15,R15,T15,V15,X15,Z15,AB15,AD15,AF15)</f>
        <v>0</v>
      </c>
      <c r="E15" s="62">
        <f>J15</f>
        <v>0</v>
      </c>
      <c r="F15" s="62">
        <f>G15</f>
        <v>0</v>
      </c>
      <c r="G15" s="62">
        <f>SUM(K15,M15,O15,Q15,S15,U15,W15,Y15,AA15,AC15,AE15,AG15)</f>
        <v>0</v>
      </c>
      <c r="H15" s="62">
        <f t="shared" si="12"/>
        <v>0</v>
      </c>
      <c r="I15" s="62">
        <f t="shared" si="13"/>
        <v>0</v>
      </c>
      <c r="J15" s="63">
        <v>0</v>
      </c>
      <c r="K15" s="63">
        <v>0</v>
      </c>
      <c r="L15" s="63">
        <v>0</v>
      </c>
      <c r="M15" s="63">
        <v>0</v>
      </c>
      <c r="N15" s="63">
        <v>0</v>
      </c>
      <c r="O15" s="63">
        <v>0</v>
      </c>
      <c r="P15" s="63">
        <v>0</v>
      </c>
      <c r="Q15" s="63">
        <v>0</v>
      </c>
      <c r="R15" s="63">
        <v>0</v>
      </c>
      <c r="S15" s="63">
        <v>0</v>
      </c>
      <c r="T15" s="63">
        <v>0</v>
      </c>
      <c r="U15" s="63">
        <v>0</v>
      </c>
      <c r="V15" s="63">
        <v>0</v>
      </c>
      <c r="W15" s="63">
        <v>0</v>
      </c>
      <c r="X15" s="63">
        <v>0</v>
      </c>
      <c r="Y15" s="63">
        <v>0</v>
      </c>
      <c r="Z15" s="63">
        <v>0</v>
      </c>
      <c r="AA15" s="63">
        <v>0</v>
      </c>
      <c r="AB15" s="63">
        <v>0</v>
      </c>
      <c r="AC15" s="63">
        <v>0</v>
      </c>
      <c r="AD15" s="63">
        <v>0</v>
      </c>
      <c r="AE15" s="63">
        <v>0</v>
      </c>
      <c r="AF15" s="63">
        <v>0</v>
      </c>
      <c r="AG15" s="63">
        <v>0</v>
      </c>
      <c r="AH15" s="60"/>
      <c r="AI15" s="23"/>
    </row>
    <row r="16" spans="1:35" s="22" customFormat="1" ht="108" customHeight="1" x14ac:dyDescent="0.25">
      <c r="A16" s="375"/>
      <c r="B16" s="363"/>
      <c r="C16" s="61" t="s">
        <v>21</v>
      </c>
      <c r="D16" s="62">
        <f>SUM(J16,L16,N16,P16,R16,T16,V16,X16,Z16,AB16,AD16,AF16)</f>
        <v>59670.703000000001</v>
      </c>
      <c r="E16" s="62">
        <f>J16</f>
        <v>3444.34</v>
      </c>
      <c r="F16" s="62">
        <f>G16</f>
        <v>0</v>
      </c>
      <c r="G16" s="62">
        <f>SUM(K16,M16,O16,Q16,S16,U16,W16,Y16,AA16,AC16,AE16,AG16)</f>
        <v>0</v>
      </c>
      <c r="H16" s="62">
        <f t="shared" si="12"/>
        <v>0</v>
      </c>
      <c r="I16" s="62">
        <f t="shared" si="13"/>
        <v>0</v>
      </c>
      <c r="J16" s="67">
        <v>3444.34</v>
      </c>
      <c r="K16" s="67">
        <v>0</v>
      </c>
      <c r="L16" s="67">
        <v>5022.3339999999998</v>
      </c>
      <c r="M16" s="67">
        <v>0</v>
      </c>
      <c r="N16" s="67">
        <v>4615.8639999999996</v>
      </c>
      <c r="O16" s="67">
        <v>0</v>
      </c>
      <c r="P16" s="67">
        <v>5074.71</v>
      </c>
      <c r="Q16" s="67">
        <v>0</v>
      </c>
      <c r="R16" s="67">
        <v>4939.22</v>
      </c>
      <c r="S16" s="67">
        <v>0</v>
      </c>
      <c r="T16" s="67">
        <v>6485.4279999999999</v>
      </c>
      <c r="U16" s="67">
        <v>0</v>
      </c>
      <c r="V16" s="67">
        <v>4927.71</v>
      </c>
      <c r="W16" s="67">
        <v>0</v>
      </c>
      <c r="X16" s="67">
        <v>5121.0910000000003</v>
      </c>
      <c r="Y16" s="67">
        <v>0</v>
      </c>
      <c r="Z16" s="67">
        <v>5099.9530000000004</v>
      </c>
      <c r="AA16" s="67">
        <v>0</v>
      </c>
      <c r="AB16" s="67">
        <v>4939.2190000000001</v>
      </c>
      <c r="AC16" s="67">
        <v>0</v>
      </c>
      <c r="AD16" s="67">
        <v>5100.8959999999997</v>
      </c>
      <c r="AE16" s="67">
        <v>0</v>
      </c>
      <c r="AF16" s="67">
        <v>4899.9380000000001</v>
      </c>
      <c r="AG16" s="67">
        <v>0</v>
      </c>
      <c r="AH16" s="64"/>
      <c r="AI16" s="20"/>
    </row>
    <row r="17" spans="1:35" s="22" customFormat="1" ht="23.25" customHeight="1" x14ac:dyDescent="0.25">
      <c r="A17" s="115"/>
      <c r="B17" s="370" t="s">
        <v>86</v>
      </c>
      <c r="C17" s="371"/>
      <c r="D17" s="371"/>
      <c r="E17" s="371"/>
      <c r="F17" s="371"/>
      <c r="G17" s="371"/>
      <c r="H17" s="371"/>
      <c r="I17" s="371"/>
      <c r="J17" s="371"/>
      <c r="K17" s="371"/>
      <c r="L17" s="371"/>
      <c r="M17" s="371"/>
      <c r="N17" s="371"/>
      <c r="O17" s="371"/>
      <c r="P17" s="371"/>
      <c r="Q17" s="371"/>
      <c r="R17" s="371"/>
      <c r="S17" s="371"/>
      <c r="T17" s="371"/>
      <c r="U17" s="371"/>
      <c r="V17" s="371"/>
      <c r="W17" s="371"/>
      <c r="X17" s="371"/>
      <c r="Y17" s="371"/>
      <c r="Z17" s="371"/>
      <c r="AA17" s="371"/>
      <c r="AB17" s="371"/>
      <c r="AC17" s="371"/>
      <c r="AD17" s="371"/>
      <c r="AE17" s="371"/>
      <c r="AF17" s="371"/>
      <c r="AG17" s="372"/>
      <c r="AH17" s="46"/>
      <c r="AI17" s="20"/>
    </row>
    <row r="18" spans="1:35" s="21" customFormat="1" ht="31.5" customHeight="1" x14ac:dyDescent="0.25">
      <c r="A18" s="373" t="s">
        <v>87</v>
      </c>
      <c r="B18" s="361" t="s">
        <v>91</v>
      </c>
      <c r="C18" s="57" t="s">
        <v>20</v>
      </c>
      <c r="D18" s="58">
        <f>D20+D21+D19</f>
        <v>186411.2</v>
      </c>
      <c r="E18" s="58">
        <f t="shared" ref="E18:G18" si="14">E20+E21+E19</f>
        <v>0</v>
      </c>
      <c r="F18" s="58">
        <f t="shared" si="14"/>
        <v>0</v>
      </c>
      <c r="G18" s="58">
        <f t="shared" si="14"/>
        <v>0</v>
      </c>
      <c r="H18" s="58">
        <f t="shared" ref="H18:H21" si="15">IFERROR(G18/D18*100,0)</f>
        <v>0</v>
      </c>
      <c r="I18" s="58">
        <f t="shared" ref="I18:I21" si="16">IFERROR(G18/E18*100,0)</f>
        <v>0</v>
      </c>
      <c r="J18" s="58">
        <f t="shared" ref="J18:AG18" si="17">J20+J21+J19</f>
        <v>0</v>
      </c>
      <c r="K18" s="58">
        <f t="shared" si="17"/>
        <v>0</v>
      </c>
      <c r="L18" s="58">
        <f t="shared" si="17"/>
        <v>0</v>
      </c>
      <c r="M18" s="58">
        <f t="shared" si="17"/>
        <v>0</v>
      </c>
      <c r="N18" s="58">
        <f t="shared" si="17"/>
        <v>0</v>
      </c>
      <c r="O18" s="58">
        <f t="shared" si="17"/>
        <v>0</v>
      </c>
      <c r="P18" s="58">
        <f t="shared" si="17"/>
        <v>0</v>
      </c>
      <c r="Q18" s="58">
        <f t="shared" si="17"/>
        <v>0</v>
      </c>
      <c r="R18" s="58">
        <f t="shared" si="17"/>
        <v>0</v>
      </c>
      <c r="S18" s="58">
        <f t="shared" si="17"/>
        <v>0</v>
      </c>
      <c r="T18" s="58">
        <f t="shared" si="17"/>
        <v>0</v>
      </c>
      <c r="U18" s="58">
        <f t="shared" si="17"/>
        <v>0</v>
      </c>
      <c r="V18" s="58">
        <f t="shared" si="17"/>
        <v>0</v>
      </c>
      <c r="W18" s="58">
        <f t="shared" si="17"/>
        <v>0</v>
      </c>
      <c r="X18" s="58">
        <f t="shared" si="17"/>
        <v>0</v>
      </c>
      <c r="Y18" s="58">
        <f t="shared" si="17"/>
        <v>0</v>
      </c>
      <c r="Z18" s="58">
        <f t="shared" si="17"/>
        <v>0</v>
      </c>
      <c r="AA18" s="58">
        <f t="shared" si="17"/>
        <v>0</v>
      </c>
      <c r="AB18" s="58">
        <f t="shared" si="17"/>
        <v>0</v>
      </c>
      <c r="AC18" s="58">
        <f t="shared" si="17"/>
        <v>0</v>
      </c>
      <c r="AD18" s="58">
        <f t="shared" si="17"/>
        <v>0</v>
      </c>
      <c r="AE18" s="58">
        <f t="shared" si="17"/>
        <v>0</v>
      </c>
      <c r="AF18" s="58">
        <f t="shared" si="17"/>
        <v>186411.2</v>
      </c>
      <c r="AG18" s="58">
        <f t="shared" si="17"/>
        <v>0</v>
      </c>
      <c r="AH18" s="60"/>
      <c r="AI18" s="23"/>
    </row>
    <row r="19" spans="1:35" s="21" customFormat="1" ht="42.75" hidden="1" customHeight="1" x14ac:dyDescent="0.25">
      <c r="A19" s="374"/>
      <c r="B19" s="362"/>
      <c r="C19" s="61" t="s">
        <v>52</v>
      </c>
      <c r="D19" s="62">
        <f>SUM(J19,L19,N19,P19,R19,T19,V19,X19,Z19,AB19,AD19,AF19)</f>
        <v>0</v>
      </c>
      <c r="E19" s="62">
        <f>J19</f>
        <v>0</v>
      </c>
      <c r="F19" s="62">
        <f>G19</f>
        <v>0</v>
      </c>
      <c r="G19" s="62">
        <f>SUM(K19,M19,O19,Q19,S19,U19,W19,Y19,AA19,AC19,AE19,AG19)</f>
        <v>0</v>
      </c>
      <c r="H19" s="62">
        <f t="shared" si="15"/>
        <v>0</v>
      </c>
      <c r="I19" s="62">
        <f t="shared" si="16"/>
        <v>0</v>
      </c>
      <c r="J19" s="62">
        <v>0</v>
      </c>
      <c r="K19" s="62">
        <v>0</v>
      </c>
      <c r="L19" s="62">
        <v>0</v>
      </c>
      <c r="M19" s="62">
        <v>0</v>
      </c>
      <c r="N19" s="62">
        <v>0</v>
      </c>
      <c r="O19" s="62">
        <v>0</v>
      </c>
      <c r="P19" s="62">
        <v>0</v>
      </c>
      <c r="Q19" s="62">
        <v>0</v>
      </c>
      <c r="R19" s="62">
        <v>0</v>
      </c>
      <c r="S19" s="62">
        <v>0</v>
      </c>
      <c r="T19" s="62">
        <v>0</v>
      </c>
      <c r="U19" s="62">
        <v>0</v>
      </c>
      <c r="V19" s="62">
        <v>0</v>
      </c>
      <c r="W19" s="62">
        <v>0</v>
      </c>
      <c r="X19" s="62">
        <v>0</v>
      </c>
      <c r="Y19" s="62">
        <v>0</v>
      </c>
      <c r="Z19" s="62">
        <v>0</v>
      </c>
      <c r="AA19" s="62">
        <v>0</v>
      </c>
      <c r="AB19" s="62">
        <v>0</v>
      </c>
      <c r="AC19" s="62">
        <v>0</v>
      </c>
      <c r="AD19" s="62">
        <v>0</v>
      </c>
      <c r="AE19" s="62">
        <v>0</v>
      </c>
      <c r="AF19" s="62">
        <v>0</v>
      </c>
      <c r="AG19" s="62">
        <v>0</v>
      </c>
      <c r="AH19" s="60"/>
      <c r="AI19" s="23"/>
    </row>
    <row r="20" spans="1:35" s="21" customFormat="1" ht="69" customHeight="1" x14ac:dyDescent="0.25">
      <c r="A20" s="374"/>
      <c r="B20" s="362"/>
      <c r="C20" s="61" t="s">
        <v>22</v>
      </c>
      <c r="D20" s="62">
        <f>SUM(J20,L20,N20,P20,R20,T20,V20,X20,Z20,AB20,AD20,AF20)</f>
        <v>161975</v>
      </c>
      <c r="E20" s="62">
        <f>J20</f>
        <v>0</v>
      </c>
      <c r="F20" s="62">
        <f>G20</f>
        <v>0</v>
      </c>
      <c r="G20" s="62">
        <f>SUM(K20,M20,O20,Q20,S20,U20,W20,Y20,AA20,AC20,AE20,AG20)</f>
        <v>0</v>
      </c>
      <c r="H20" s="62">
        <f t="shared" si="15"/>
        <v>0</v>
      </c>
      <c r="I20" s="62">
        <f t="shared" si="16"/>
        <v>0</v>
      </c>
      <c r="J20" s="63">
        <v>0</v>
      </c>
      <c r="K20" s="63">
        <v>0</v>
      </c>
      <c r="L20" s="63">
        <v>0</v>
      </c>
      <c r="M20" s="63">
        <v>0</v>
      </c>
      <c r="N20" s="63">
        <v>0</v>
      </c>
      <c r="O20" s="63">
        <v>0</v>
      </c>
      <c r="P20" s="63">
        <v>0</v>
      </c>
      <c r="Q20" s="63">
        <v>0</v>
      </c>
      <c r="R20" s="63">
        <v>0</v>
      </c>
      <c r="S20" s="63">
        <v>0</v>
      </c>
      <c r="T20" s="63">
        <v>0</v>
      </c>
      <c r="U20" s="63">
        <v>0</v>
      </c>
      <c r="V20" s="63">
        <v>0</v>
      </c>
      <c r="W20" s="63">
        <v>0</v>
      </c>
      <c r="X20" s="63">
        <v>0</v>
      </c>
      <c r="Y20" s="63">
        <v>0</v>
      </c>
      <c r="Z20" s="63">
        <v>0</v>
      </c>
      <c r="AA20" s="63">
        <v>0</v>
      </c>
      <c r="AB20" s="63">
        <v>0</v>
      </c>
      <c r="AC20" s="63">
        <v>0</v>
      </c>
      <c r="AD20" s="63">
        <v>0</v>
      </c>
      <c r="AE20" s="63">
        <v>0</v>
      </c>
      <c r="AF20" s="63">
        <v>161975</v>
      </c>
      <c r="AG20" s="63">
        <v>0</v>
      </c>
      <c r="AH20" s="60"/>
      <c r="AI20" s="23"/>
    </row>
    <row r="21" spans="1:35" s="22" customFormat="1" ht="115.5" customHeight="1" x14ac:dyDescent="0.25">
      <c r="A21" s="375"/>
      <c r="B21" s="363"/>
      <c r="C21" s="61" t="s">
        <v>21</v>
      </c>
      <c r="D21" s="62">
        <f>SUM(J21,L21,N21,P21,R21,T21,V21,X21,Z21,AB21,AD21,AF21)</f>
        <v>24436.2</v>
      </c>
      <c r="E21" s="62">
        <f>J21</f>
        <v>0</v>
      </c>
      <c r="F21" s="62">
        <f>G21</f>
        <v>0</v>
      </c>
      <c r="G21" s="62">
        <f>SUM(K21,M21,O21,Q21,S21,U21,W21,Y21,AA21,AC21,AE21,AG21)</f>
        <v>0</v>
      </c>
      <c r="H21" s="62">
        <f t="shared" si="15"/>
        <v>0</v>
      </c>
      <c r="I21" s="62">
        <f t="shared" si="16"/>
        <v>0</v>
      </c>
      <c r="J21" s="67">
        <v>0</v>
      </c>
      <c r="K21" s="67">
        <v>0</v>
      </c>
      <c r="L21" s="67">
        <v>0</v>
      </c>
      <c r="M21" s="67">
        <v>0</v>
      </c>
      <c r="N21" s="67">
        <v>0</v>
      </c>
      <c r="O21" s="67">
        <v>0</v>
      </c>
      <c r="P21" s="67">
        <v>0</v>
      </c>
      <c r="Q21" s="67">
        <v>0</v>
      </c>
      <c r="R21" s="67">
        <v>0</v>
      </c>
      <c r="S21" s="67">
        <v>0</v>
      </c>
      <c r="T21" s="67">
        <v>0</v>
      </c>
      <c r="U21" s="67">
        <v>0</v>
      </c>
      <c r="V21" s="67">
        <v>0</v>
      </c>
      <c r="W21" s="67">
        <v>0</v>
      </c>
      <c r="X21" s="67">
        <v>0</v>
      </c>
      <c r="Y21" s="67">
        <v>0</v>
      </c>
      <c r="Z21" s="67">
        <v>0</v>
      </c>
      <c r="AA21" s="67">
        <v>0</v>
      </c>
      <c r="AB21" s="67">
        <v>0</v>
      </c>
      <c r="AC21" s="67">
        <v>0</v>
      </c>
      <c r="AD21" s="67">
        <v>0</v>
      </c>
      <c r="AE21" s="67">
        <v>0</v>
      </c>
      <c r="AF21" s="67">
        <v>24436.2</v>
      </c>
      <c r="AG21" s="67">
        <v>0</v>
      </c>
      <c r="AH21" s="64"/>
      <c r="AI21" s="20"/>
    </row>
    <row r="22" spans="1:35" s="22" customFormat="1" ht="28.5" customHeight="1" x14ac:dyDescent="0.25">
      <c r="A22" s="379" t="s">
        <v>38</v>
      </c>
      <c r="B22" s="361" t="s">
        <v>88</v>
      </c>
      <c r="C22" s="57" t="s">
        <v>20</v>
      </c>
      <c r="D22" s="58">
        <f>D24+D23+D25</f>
        <v>384307.38</v>
      </c>
      <c r="E22" s="58">
        <f t="shared" ref="E22:G22" si="18">E24+E23+E25</f>
        <v>27720.603999999999</v>
      </c>
      <c r="F22" s="58">
        <f t="shared" si="18"/>
        <v>0</v>
      </c>
      <c r="G22" s="58">
        <f t="shared" si="18"/>
        <v>0</v>
      </c>
      <c r="H22" s="58">
        <f t="shared" si="12"/>
        <v>0</v>
      </c>
      <c r="I22" s="58">
        <f t="shared" si="13"/>
        <v>0</v>
      </c>
      <c r="J22" s="59">
        <f>J24+J23+J25</f>
        <v>27720.603999999999</v>
      </c>
      <c r="K22" s="59">
        <f t="shared" ref="K22:AG22" si="19">K24+K23+K25</f>
        <v>0</v>
      </c>
      <c r="L22" s="59">
        <f t="shared" si="19"/>
        <v>31153.324999999997</v>
      </c>
      <c r="M22" s="59">
        <f t="shared" si="19"/>
        <v>0</v>
      </c>
      <c r="N22" s="59">
        <f t="shared" si="19"/>
        <v>28449.675999999999</v>
      </c>
      <c r="O22" s="59">
        <f t="shared" si="19"/>
        <v>0</v>
      </c>
      <c r="P22" s="59">
        <f t="shared" si="19"/>
        <v>30440.261000000002</v>
      </c>
      <c r="Q22" s="59">
        <f t="shared" si="19"/>
        <v>0</v>
      </c>
      <c r="R22" s="59">
        <f t="shared" si="19"/>
        <v>21590.612000000001</v>
      </c>
      <c r="S22" s="59">
        <f t="shared" si="19"/>
        <v>0</v>
      </c>
      <c r="T22" s="59">
        <f t="shared" si="19"/>
        <v>20681.394</v>
      </c>
      <c r="U22" s="59">
        <f t="shared" si="19"/>
        <v>0</v>
      </c>
      <c r="V22" s="59">
        <f t="shared" si="19"/>
        <v>19959.667999999998</v>
      </c>
      <c r="W22" s="59">
        <f t="shared" si="19"/>
        <v>0</v>
      </c>
      <c r="X22" s="59">
        <f t="shared" si="19"/>
        <v>16222.404</v>
      </c>
      <c r="Y22" s="59">
        <f t="shared" si="19"/>
        <v>0</v>
      </c>
      <c r="Z22" s="59">
        <f t="shared" si="19"/>
        <v>24406.437999999998</v>
      </c>
      <c r="AA22" s="59">
        <f t="shared" si="19"/>
        <v>0</v>
      </c>
      <c r="AB22" s="59">
        <f t="shared" si="19"/>
        <v>63674.615999999995</v>
      </c>
      <c r="AC22" s="59">
        <f t="shared" si="19"/>
        <v>0</v>
      </c>
      <c r="AD22" s="59">
        <f t="shared" si="19"/>
        <v>18713.443000000003</v>
      </c>
      <c r="AE22" s="59">
        <f t="shared" si="19"/>
        <v>0</v>
      </c>
      <c r="AF22" s="59">
        <f t="shared" si="19"/>
        <v>81294.938999999998</v>
      </c>
      <c r="AG22" s="59">
        <f t="shared" si="19"/>
        <v>0</v>
      </c>
      <c r="AH22" s="60"/>
      <c r="AI22" s="20"/>
    </row>
    <row r="23" spans="1:35" s="26" customFormat="1" ht="55.5" customHeight="1" x14ac:dyDescent="0.25">
      <c r="A23" s="380"/>
      <c r="B23" s="362"/>
      <c r="C23" s="73" t="s">
        <v>22</v>
      </c>
      <c r="D23" s="74">
        <f>SUM(J23,L23,N23,P23,R23,T23,V23,X23,Z23,AB23,AD23,AF23)</f>
        <v>26873.4</v>
      </c>
      <c r="E23" s="74">
        <f>J23</f>
        <v>0</v>
      </c>
      <c r="F23" s="74">
        <f>G23</f>
        <v>0</v>
      </c>
      <c r="G23" s="74">
        <f>SUM(K23,M23,O23,Q23,S23,U23,W23,Y23,AA23,AC23,AE23,AG23)</f>
        <v>0</v>
      </c>
      <c r="H23" s="74">
        <f>IFERROR(G23/D23*100,0)</f>
        <v>0</v>
      </c>
      <c r="I23" s="74">
        <f>IFERROR(G23/E23*100,0)</f>
        <v>0</v>
      </c>
      <c r="J23" s="67">
        <f>J39</f>
        <v>0</v>
      </c>
      <c r="K23" s="67">
        <f t="shared" ref="K23:AG23" si="20">K39</f>
        <v>0</v>
      </c>
      <c r="L23" s="67">
        <f t="shared" si="20"/>
        <v>0</v>
      </c>
      <c r="M23" s="67">
        <f t="shared" si="20"/>
        <v>0</v>
      </c>
      <c r="N23" s="67">
        <f t="shared" si="20"/>
        <v>0</v>
      </c>
      <c r="O23" s="67">
        <f t="shared" si="20"/>
        <v>0</v>
      </c>
      <c r="P23" s="67">
        <f t="shared" si="20"/>
        <v>0</v>
      </c>
      <c r="Q23" s="67">
        <f t="shared" si="20"/>
        <v>0</v>
      </c>
      <c r="R23" s="67">
        <f t="shared" si="20"/>
        <v>0</v>
      </c>
      <c r="S23" s="67">
        <f t="shared" si="20"/>
        <v>0</v>
      </c>
      <c r="T23" s="67">
        <f t="shared" si="20"/>
        <v>0</v>
      </c>
      <c r="U23" s="67">
        <f t="shared" si="20"/>
        <v>0</v>
      </c>
      <c r="V23" s="67">
        <f t="shared" si="20"/>
        <v>0</v>
      </c>
      <c r="W23" s="67">
        <f t="shared" si="20"/>
        <v>0</v>
      </c>
      <c r="X23" s="67">
        <f t="shared" si="20"/>
        <v>0</v>
      </c>
      <c r="Y23" s="67">
        <f t="shared" si="20"/>
        <v>0</v>
      </c>
      <c r="Z23" s="67">
        <f t="shared" si="20"/>
        <v>0</v>
      </c>
      <c r="AA23" s="67">
        <f t="shared" si="20"/>
        <v>0</v>
      </c>
      <c r="AB23" s="67">
        <f t="shared" si="20"/>
        <v>26873.4</v>
      </c>
      <c r="AC23" s="67">
        <f t="shared" si="20"/>
        <v>0</v>
      </c>
      <c r="AD23" s="67">
        <f t="shared" si="20"/>
        <v>0</v>
      </c>
      <c r="AE23" s="67">
        <f t="shared" si="20"/>
        <v>0</v>
      </c>
      <c r="AF23" s="67">
        <f t="shared" si="20"/>
        <v>0</v>
      </c>
      <c r="AG23" s="67">
        <f t="shared" si="20"/>
        <v>0</v>
      </c>
      <c r="AH23" s="72"/>
      <c r="AI23" s="24"/>
    </row>
    <row r="24" spans="1:35" s="26" customFormat="1" ht="62.25" customHeight="1" x14ac:dyDescent="0.25">
      <c r="A24" s="380"/>
      <c r="B24" s="362"/>
      <c r="C24" s="73" t="s">
        <v>21</v>
      </c>
      <c r="D24" s="74">
        <f>SUM(J24,L24,N24,P24,R24,T24,V24,X24,Z24,AB24,AD24,AF24)</f>
        <v>340910.98</v>
      </c>
      <c r="E24" s="74">
        <f>J24</f>
        <v>26518.763999999999</v>
      </c>
      <c r="F24" s="74">
        <f>G24</f>
        <v>0</v>
      </c>
      <c r="G24" s="74">
        <f>SUM(K24,M24,O24,Q24,S24,U24,W24,Y24,AA24,AC24,AE24,AG24)</f>
        <v>0</v>
      </c>
      <c r="H24" s="74">
        <f>IFERROR(G24/D24*100,0)</f>
        <v>0</v>
      </c>
      <c r="I24" s="74">
        <f>IFERROR(G24/E24*100,0)</f>
        <v>0</v>
      </c>
      <c r="J24" s="67">
        <f>J27+J31+J34+J37+J40</f>
        <v>26518.763999999999</v>
      </c>
      <c r="K24" s="67">
        <f t="shared" ref="K24:AG24" si="21">K27+K31+K34+K37+K40</f>
        <v>0</v>
      </c>
      <c r="L24" s="67">
        <f t="shared" si="21"/>
        <v>29988.844999999998</v>
      </c>
      <c r="M24" s="67">
        <f t="shared" si="21"/>
        <v>0</v>
      </c>
      <c r="N24" s="67">
        <f t="shared" si="21"/>
        <v>26936.716</v>
      </c>
      <c r="O24" s="67">
        <f t="shared" si="21"/>
        <v>0</v>
      </c>
      <c r="P24" s="67">
        <f t="shared" si="21"/>
        <v>29052.985000000001</v>
      </c>
      <c r="Q24" s="67">
        <f t="shared" si="21"/>
        <v>0</v>
      </c>
      <c r="R24" s="67">
        <f t="shared" si="21"/>
        <v>20333.864000000001</v>
      </c>
      <c r="S24" s="67">
        <f t="shared" si="21"/>
        <v>0</v>
      </c>
      <c r="T24" s="67">
        <f t="shared" si="21"/>
        <v>19159.021000000001</v>
      </c>
      <c r="U24" s="67">
        <f t="shared" si="21"/>
        <v>0</v>
      </c>
      <c r="V24" s="67">
        <f t="shared" si="21"/>
        <v>18297.784</v>
      </c>
      <c r="W24" s="67">
        <f t="shared" si="21"/>
        <v>0</v>
      </c>
      <c r="X24" s="67">
        <f t="shared" si="21"/>
        <v>14292.447</v>
      </c>
      <c r="Y24" s="67">
        <f t="shared" si="21"/>
        <v>0</v>
      </c>
      <c r="Z24" s="67">
        <f t="shared" si="21"/>
        <v>23231.561999999998</v>
      </c>
      <c r="AA24" s="67">
        <f t="shared" si="21"/>
        <v>0</v>
      </c>
      <c r="AB24" s="67">
        <f t="shared" si="21"/>
        <v>35521.721999999994</v>
      </c>
      <c r="AC24" s="67">
        <f t="shared" si="21"/>
        <v>0</v>
      </c>
      <c r="AD24" s="67">
        <f t="shared" si="21"/>
        <v>17456.905000000002</v>
      </c>
      <c r="AE24" s="67">
        <f t="shared" si="21"/>
        <v>0</v>
      </c>
      <c r="AF24" s="67">
        <f t="shared" si="21"/>
        <v>80120.365000000005</v>
      </c>
      <c r="AG24" s="67">
        <f t="shared" si="21"/>
        <v>0</v>
      </c>
      <c r="AH24" s="72"/>
      <c r="AI24" s="24"/>
    </row>
    <row r="25" spans="1:35" s="26" customFormat="1" ht="62.25" customHeight="1" x14ac:dyDescent="0.25">
      <c r="A25" s="486"/>
      <c r="B25" s="363"/>
      <c r="C25" s="73" t="s">
        <v>40</v>
      </c>
      <c r="D25" s="74">
        <f>SUM(J25,L25,N25,P25,R25,T25,V25,X25,Z25,AB25,AD25,AF25)</f>
        <v>16523</v>
      </c>
      <c r="E25" s="74">
        <f>J25</f>
        <v>1201.8399999999999</v>
      </c>
      <c r="F25" s="74">
        <f>G25</f>
        <v>0</v>
      </c>
      <c r="G25" s="74">
        <f>SUM(K25,M25,O25,Q25,S25,U25,W25,Y25,AA25,AC25,AE25,AG25)</f>
        <v>0</v>
      </c>
      <c r="H25" s="74">
        <f>IFERROR(G25/D25*100,0)</f>
        <v>0</v>
      </c>
      <c r="I25" s="74">
        <f>IFERROR(G25/E25*100,0)</f>
        <v>0</v>
      </c>
      <c r="J25" s="67">
        <f>J28</f>
        <v>1201.8399999999999</v>
      </c>
      <c r="K25" s="67">
        <f t="shared" ref="K25:AG25" si="22">K28</f>
        <v>0</v>
      </c>
      <c r="L25" s="67">
        <f t="shared" si="22"/>
        <v>1164.48</v>
      </c>
      <c r="M25" s="67">
        <f t="shared" si="22"/>
        <v>0</v>
      </c>
      <c r="N25" s="67">
        <f t="shared" si="22"/>
        <v>1512.96</v>
      </c>
      <c r="O25" s="67">
        <f t="shared" si="22"/>
        <v>0</v>
      </c>
      <c r="P25" s="67">
        <f t="shared" si="22"/>
        <v>1387.2760000000001</v>
      </c>
      <c r="Q25" s="67">
        <f t="shared" si="22"/>
        <v>0</v>
      </c>
      <c r="R25" s="67">
        <f t="shared" si="22"/>
        <v>1256.748</v>
      </c>
      <c r="S25" s="67">
        <f t="shared" si="22"/>
        <v>0</v>
      </c>
      <c r="T25" s="67">
        <f t="shared" si="22"/>
        <v>1522.373</v>
      </c>
      <c r="U25" s="67">
        <f t="shared" si="22"/>
        <v>0</v>
      </c>
      <c r="V25" s="67">
        <f t="shared" si="22"/>
        <v>1661.884</v>
      </c>
      <c r="W25" s="67">
        <f t="shared" si="22"/>
        <v>0</v>
      </c>
      <c r="X25" s="67">
        <f t="shared" si="22"/>
        <v>1929.9570000000001</v>
      </c>
      <c r="Y25" s="67">
        <f t="shared" si="22"/>
        <v>0</v>
      </c>
      <c r="Z25" s="67">
        <f t="shared" si="22"/>
        <v>1174.876</v>
      </c>
      <c r="AA25" s="67">
        <f t="shared" si="22"/>
        <v>0</v>
      </c>
      <c r="AB25" s="67">
        <f t="shared" si="22"/>
        <v>1279.4939999999999</v>
      </c>
      <c r="AC25" s="67">
        <f t="shared" si="22"/>
        <v>0</v>
      </c>
      <c r="AD25" s="67">
        <f t="shared" si="22"/>
        <v>1256.538</v>
      </c>
      <c r="AE25" s="67">
        <f t="shared" si="22"/>
        <v>0</v>
      </c>
      <c r="AF25" s="67">
        <f t="shared" si="22"/>
        <v>1174.5740000000001</v>
      </c>
      <c r="AG25" s="67">
        <f t="shared" si="22"/>
        <v>0</v>
      </c>
      <c r="AH25" s="72"/>
      <c r="AI25" s="24"/>
    </row>
    <row r="26" spans="1:35" s="22" customFormat="1" ht="30.75" customHeight="1" x14ac:dyDescent="0.25">
      <c r="A26" s="392" t="s">
        <v>100</v>
      </c>
      <c r="B26" s="384" t="s">
        <v>92</v>
      </c>
      <c r="C26" s="57" t="s">
        <v>20</v>
      </c>
      <c r="D26" s="58">
        <f>D28+D27</f>
        <v>239350.99999999997</v>
      </c>
      <c r="E26" s="58">
        <f t="shared" ref="E26:G26" si="23">E28+E27</f>
        <v>27450.583999999999</v>
      </c>
      <c r="F26" s="58">
        <f t="shared" si="23"/>
        <v>0</v>
      </c>
      <c r="G26" s="58">
        <f t="shared" si="23"/>
        <v>0</v>
      </c>
      <c r="H26" s="58">
        <f t="shared" ref="H26" si="24">IFERROR(G26/D26*100,0)</f>
        <v>0</v>
      </c>
      <c r="I26" s="58">
        <f t="shared" ref="I26" si="25">IFERROR(G26/E26*100,0)</f>
        <v>0</v>
      </c>
      <c r="J26" s="59">
        <f>J28+J27</f>
        <v>27450.583999999999</v>
      </c>
      <c r="K26" s="59">
        <f t="shared" ref="K26:AG26" si="26">K28+K27</f>
        <v>0</v>
      </c>
      <c r="L26" s="59">
        <f t="shared" si="26"/>
        <v>30605.437999999998</v>
      </c>
      <c r="M26" s="59">
        <f t="shared" si="26"/>
        <v>0</v>
      </c>
      <c r="N26" s="59">
        <f t="shared" si="26"/>
        <v>27962.062999999998</v>
      </c>
      <c r="O26" s="59">
        <f t="shared" si="26"/>
        <v>0</v>
      </c>
      <c r="P26" s="59">
        <f t="shared" si="26"/>
        <v>29897.226000000002</v>
      </c>
      <c r="Q26" s="59">
        <f t="shared" si="26"/>
        <v>0</v>
      </c>
      <c r="R26" s="59">
        <f t="shared" si="26"/>
        <v>21060.102999999999</v>
      </c>
      <c r="S26" s="59">
        <f t="shared" si="26"/>
        <v>0</v>
      </c>
      <c r="T26" s="59">
        <f t="shared" si="26"/>
        <v>19841.103999999999</v>
      </c>
      <c r="U26" s="59">
        <f t="shared" si="26"/>
        <v>0</v>
      </c>
      <c r="V26" s="59">
        <f t="shared" si="26"/>
        <v>19067.71</v>
      </c>
      <c r="W26" s="59">
        <f t="shared" si="26"/>
        <v>0</v>
      </c>
      <c r="X26" s="59">
        <f t="shared" si="26"/>
        <v>14946.795</v>
      </c>
      <c r="Y26" s="59">
        <f t="shared" si="26"/>
        <v>0</v>
      </c>
      <c r="Z26" s="59">
        <f t="shared" si="26"/>
        <v>13379.078</v>
      </c>
      <c r="AA26" s="59">
        <f t="shared" si="26"/>
        <v>0</v>
      </c>
      <c r="AB26" s="59">
        <f t="shared" si="26"/>
        <v>12082.642</v>
      </c>
      <c r="AC26" s="59">
        <f t="shared" si="26"/>
        <v>0</v>
      </c>
      <c r="AD26" s="59">
        <f t="shared" si="26"/>
        <v>12451.863000000001</v>
      </c>
      <c r="AE26" s="59">
        <f t="shared" si="26"/>
        <v>0</v>
      </c>
      <c r="AF26" s="59">
        <f t="shared" si="26"/>
        <v>10606.394</v>
      </c>
      <c r="AG26" s="59">
        <f t="shared" si="26"/>
        <v>0</v>
      </c>
      <c r="AH26" s="60"/>
      <c r="AI26" s="20"/>
    </row>
    <row r="27" spans="1:35" s="22" customFormat="1" ht="54" customHeight="1" x14ac:dyDescent="0.25">
      <c r="A27" s="393"/>
      <c r="B27" s="385"/>
      <c r="C27" s="61" t="s">
        <v>21</v>
      </c>
      <c r="D27" s="62">
        <f>SUM(J27,L27,N27,P27,R27,T27,V27,X27,Z27,AB27,AD27,AF27)</f>
        <v>222827.99999999997</v>
      </c>
      <c r="E27" s="62">
        <f>J27</f>
        <v>26248.743999999999</v>
      </c>
      <c r="F27" s="62">
        <f>G27</f>
        <v>0</v>
      </c>
      <c r="G27" s="62">
        <f>SUM(K27,M27,O27,Q27,S27,U27,W27,Y27,AA27,AC27,AE27,AG27)</f>
        <v>0</v>
      </c>
      <c r="H27" s="62">
        <f>IFERROR(G27/D27*100,0)</f>
        <v>0</v>
      </c>
      <c r="I27" s="62">
        <f>IFERROR(G27/E27*100,0)</f>
        <v>0</v>
      </c>
      <c r="J27" s="63">
        <v>26248.743999999999</v>
      </c>
      <c r="K27" s="63">
        <v>0</v>
      </c>
      <c r="L27" s="63">
        <v>29440.957999999999</v>
      </c>
      <c r="M27" s="63">
        <v>0</v>
      </c>
      <c r="N27" s="63">
        <v>26449.102999999999</v>
      </c>
      <c r="O27" s="63">
        <v>0</v>
      </c>
      <c r="P27" s="63">
        <v>28509.95</v>
      </c>
      <c r="Q27" s="63">
        <v>0</v>
      </c>
      <c r="R27" s="63">
        <v>19803.355</v>
      </c>
      <c r="S27" s="63">
        <v>0</v>
      </c>
      <c r="T27" s="63">
        <v>18318.731</v>
      </c>
      <c r="U27" s="63">
        <v>0</v>
      </c>
      <c r="V27" s="63">
        <v>17405.826000000001</v>
      </c>
      <c r="W27" s="63">
        <v>0</v>
      </c>
      <c r="X27" s="63">
        <v>13016.838</v>
      </c>
      <c r="Y27" s="63">
        <v>0</v>
      </c>
      <c r="Z27" s="63">
        <v>12204.201999999999</v>
      </c>
      <c r="AA27" s="63">
        <v>0</v>
      </c>
      <c r="AB27" s="63">
        <v>10803.147999999999</v>
      </c>
      <c r="AC27" s="63">
        <v>0</v>
      </c>
      <c r="AD27" s="63">
        <v>11195.325000000001</v>
      </c>
      <c r="AE27" s="63">
        <v>0</v>
      </c>
      <c r="AF27" s="63">
        <v>9431.82</v>
      </c>
      <c r="AG27" s="63">
        <v>0</v>
      </c>
      <c r="AH27" s="60"/>
      <c r="AI27" s="20"/>
    </row>
    <row r="28" spans="1:35" s="22" customFormat="1" ht="46.5" customHeight="1" x14ac:dyDescent="0.25">
      <c r="A28" s="394"/>
      <c r="B28" s="385"/>
      <c r="C28" s="61" t="s">
        <v>40</v>
      </c>
      <c r="D28" s="62">
        <f>SUM(J28,L28,N28,P28,R28,T28,V28,X28,Z28,AB28,AD28,AF28)</f>
        <v>16523</v>
      </c>
      <c r="E28" s="62">
        <f>J28</f>
        <v>1201.8399999999999</v>
      </c>
      <c r="F28" s="62">
        <f>G28</f>
        <v>0</v>
      </c>
      <c r="G28" s="62">
        <f>SUM(K28,M28,O28,Q28,S28,U28,W28,Y28,AA28,AC28,AE28,AG28)</f>
        <v>0</v>
      </c>
      <c r="H28" s="62">
        <f>IFERROR(G28/D28*100,0)</f>
        <v>0</v>
      </c>
      <c r="I28" s="62">
        <f>IFERROR(G28/E28*100,0)</f>
        <v>0</v>
      </c>
      <c r="J28" s="63">
        <v>1201.8399999999999</v>
      </c>
      <c r="K28" s="63">
        <v>0</v>
      </c>
      <c r="L28" s="63">
        <v>1164.48</v>
      </c>
      <c r="M28" s="63">
        <v>0</v>
      </c>
      <c r="N28" s="63">
        <v>1512.96</v>
      </c>
      <c r="O28" s="63">
        <v>0</v>
      </c>
      <c r="P28" s="63">
        <v>1387.2760000000001</v>
      </c>
      <c r="Q28" s="63">
        <v>0</v>
      </c>
      <c r="R28" s="63">
        <v>1256.748</v>
      </c>
      <c r="S28" s="63">
        <v>0</v>
      </c>
      <c r="T28" s="63">
        <v>1522.373</v>
      </c>
      <c r="U28" s="63">
        <v>0</v>
      </c>
      <c r="V28" s="63">
        <v>1661.884</v>
      </c>
      <c r="W28" s="63">
        <v>0</v>
      </c>
      <c r="X28" s="63">
        <v>1929.9570000000001</v>
      </c>
      <c r="Y28" s="63">
        <v>0</v>
      </c>
      <c r="Z28" s="63">
        <v>1174.876</v>
      </c>
      <c r="AA28" s="63">
        <v>0</v>
      </c>
      <c r="AB28" s="63">
        <v>1279.4939999999999</v>
      </c>
      <c r="AC28" s="63">
        <v>0</v>
      </c>
      <c r="AD28" s="63">
        <v>1256.538</v>
      </c>
      <c r="AE28" s="63">
        <v>0</v>
      </c>
      <c r="AF28" s="63">
        <v>1174.5740000000001</v>
      </c>
      <c r="AG28" s="63">
        <v>0</v>
      </c>
      <c r="AH28" s="60"/>
      <c r="AI28" s="20"/>
    </row>
    <row r="29" spans="1:35" s="22" customFormat="1" ht="42.75" customHeight="1" x14ac:dyDescent="0.25">
      <c r="A29" s="394" t="s">
        <v>99</v>
      </c>
      <c r="B29" s="384" t="s">
        <v>93</v>
      </c>
      <c r="C29" s="57" t="s">
        <v>20</v>
      </c>
      <c r="D29" s="58">
        <f>D31+D30</f>
        <v>16962.125</v>
      </c>
      <c r="E29" s="58">
        <f t="shared" ref="E29:G29" si="27">E31+E30</f>
        <v>270.02</v>
      </c>
      <c r="F29" s="58">
        <f t="shared" si="27"/>
        <v>0</v>
      </c>
      <c r="G29" s="58">
        <f t="shared" si="27"/>
        <v>0</v>
      </c>
      <c r="H29" s="58">
        <f t="shared" ref="H29" si="28">IFERROR(G29/D29*100,0)</f>
        <v>0</v>
      </c>
      <c r="I29" s="58">
        <f t="shared" ref="I29" si="29">IFERROR(G29/E29*100,0)</f>
        <v>0</v>
      </c>
      <c r="J29" s="59">
        <f>J31+J30</f>
        <v>270.02</v>
      </c>
      <c r="K29" s="59">
        <f t="shared" ref="K29:AG29" si="30">K31+K30</f>
        <v>0</v>
      </c>
      <c r="L29" s="59">
        <f t="shared" si="30"/>
        <v>547.88699999999994</v>
      </c>
      <c r="M29" s="59">
        <f t="shared" si="30"/>
        <v>0</v>
      </c>
      <c r="N29" s="59">
        <f t="shared" si="30"/>
        <v>487.613</v>
      </c>
      <c r="O29" s="59">
        <f t="shared" si="30"/>
        <v>0</v>
      </c>
      <c r="P29" s="59">
        <f t="shared" si="30"/>
        <v>543.03499999999997</v>
      </c>
      <c r="Q29" s="59">
        <f t="shared" si="30"/>
        <v>0</v>
      </c>
      <c r="R29" s="59">
        <f t="shared" si="30"/>
        <v>530.50900000000001</v>
      </c>
      <c r="S29" s="59">
        <f t="shared" si="30"/>
        <v>0</v>
      </c>
      <c r="T29" s="59">
        <f t="shared" si="30"/>
        <v>840.29</v>
      </c>
      <c r="U29" s="59">
        <f t="shared" si="30"/>
        <v>0</v>
      </c>
      <c r="V29" s="59">
        <f t="shared" si="30"/>
        <v>891.95799999999997</v>
      </c>
      <c r="W29" s="59">
        <f t="shared" si="30"/>
        <v>0</v>
      </c>
      <c r="X29" s="59">
        <f t="shared" si="30"/>
        <v>1275.6089999999999</v>
      </c>
      <c r="Y29" s="59">
        <f t="shared" si="30"/>
        <v>0</v>
      </c>
      <c r="Z29" s="59">
        <f t="shared" si="30"/>
        <v>1517.66</v>
      </c>
      <c r="AA29" s="59">
        <f t="shared" si="30"/>
        <v>0</v>
      </c>
      <c r="AB29" s="59">
        <f t="shared" si="30"/>
        <v>4384.4740000000002</v>
      </c>
      <c r="AC29" s="59">
        <f t="shared" si="30"/>
        <v>0</v>
      </c>
      <c r="AD29" s="59">
        <f t="shared" si="30"/>
        <v>452.38</v>
      </c>
      <c r="AE29" s="59">
        <f t="shared" si="30"/>
        <v>0</v>
      </c>
      <c r="AF29" s="59">
        <f t="shared" si="30"/>
        <v>5220.6899999999996</v>
      </c>
      <c r="AG29" s="59">
        <f t="shared" si="30"/>
        <v>0</v>
      </c>
      <c r="AH29" s="60"/>
      <c r="AI29" s="20"/>
    </row>
    <row r="30" spans="1:35" s="22" customFormat="1" ht="58.5" hidden="1" customHeight="1" x14ac:dyDescent="0.25">
      <c r="A30" s="394"/>
      <c r="B30" s="385"/>
      <c r="C30" s="61" t="s">
        <v>22</v>
      </c>
      <c r="D30" s="62">
        <f>SUM(J30,L30,N30,P30,R30,T30,V30,X30,Z30,AB30,AD30,AF30)</f>
        <v>0</v>
      </c>
      <c r="E30" s="62">
        <f>J30</f>
        <v>0</v>
      </c>
      <c r="F30" s="62">
        <f>G30</f>
        <v>0</v>
      </c>
      <c r="G30" s="62">
        <f>SUM(K30,M30,O30,Q30,S30,U30,W30,Y30,AA30,AC30,AE30,AG30)</f>
        <v>0</v>
      </c>
      <c r="H30" s="62">
        <f>IFERROR(G30/D30*100,0)</f>
        <v>0</v>
      </c>
      <c r="I30" s="62">
        <f>IFERROR(G30/E30*100,0)</f>
        <v>0</v>
      </c>
      <c r="J30" s="63">
        <v>0</v>
      </c>
      <c r="K30" s="63">
        <v>0</v>
      </c>
      <c r="L30" s="63">
        <v>0</v>
      </c>
      <c r="M30" s="63">
        <v>0</v>
      </c>
      <c r="N30" s="63">
        <v>0</v>
      </c>
      <c r="O30" s="63">
        <v>0</v>
      </c>
      <c r="P30" s="63">
        <v>0</v>
      </c>
      <c r="Q30" s="63">
        <v>0</v>
      </c>
      <c r="R30" s="63">
        <v>0</v>
      </c>
      <c r="S30" s="63">
        <v>0</v>
      </c>
      <c r="T30" s="63">
        <v>0</v>
      </c>
      <c r="U30" s="63">
        <v>0</v>
      </c>
      <c r="V30" s="63">
        <v>0</v>
      </c>
      <c r="W30" s="63">
        <v>0</v>
      </c>
      <c r="X30" s="63">
        <v>0</v>
      </c>
      <c r="Y30" s="63">
        <v>0</v>
      </c>
      <c r="Z30" s="63">
        <v>0</v>
      </c>
      <c r="AA30" s="63">
        <v>0</v>
      </c>
      <c r="AB30" s="63">
        <v>0</v>
      </c>
      <c r="AC30" s="63">
        <v>0</v>
      </c>
      <c r="AD30" s="63">
        <v>0</v>
      </c>
      <c r="AE30" s="63">
        <v>0</v>
      </c>
      <c r="AF30" s="63">
        <v>0</v>
      </c>
      <c r="AG30" s="63">
        <v>0</v>
      </c>
      <c r="AH30" s="60"/>
      <c r="AI30" s="20"/>
    </row>
    <row r="31" spans="1:35" s="22" customFormat="1" ht="42.75" customHeight="1" x14ac:dyDescent="0.25">
      <c r="A31" s="485"/>
      <c r="B31" s="385"/>
      <c r="C31" s="61" t="s">
        <v>21</v>
      </c>
      <c r="D31" s="62">
        <f>SUM(J31,L31,N31,P31,R31,T31,V31,X31,Z31,AB31,AD31,AF31)</f>
        <v>16962.125</v>
      </c>
      <c r="E31" s="62">
        <f>J31</f>
        <v>270.02</v>
      </c>
      <c r="F31" s="62">
        <f>G31</f>
        <v>0</v>
      </c>
      <c r="G31" s="62">
        <f>SUM(K31,M31,O31,Q31,S31,U31,W31,Y31,AA31,AC31,AE31,AG31)</f>
        <v>0</v>
      </c>
      <c r="H31" s="62">
        <f>IFERROR(G31/D31*100,0)</f>
        <v>0</v>
      </c>
      <c r="I31" s="62">
        <f>IFERROR(G31/E31*100,0)</f>
        <v>0</v>
      </c>
      <c r="J31" s="63">
        <v>270.02</v>
      </c>
      <c r="K31" s="63">
        <v>0</v>
      </c>
      <c r="L31" s="63">
        <v>547.88699999999994</v>
      </c>
      <c r="M31" s="63">
        <v>0</v>
      </c>
      <c r="N31" s="63">
        <v>487.613</v>
      </c>
      <c r="O31" s="63">
        <v>0</v>
      </c>
      <c r="P31" s="63">
        <v>543.03499999999997</v>
      </c>
      <c r="Q31" s="63">
        <v>0</v>
      </c>
      <c r="R31" s="63">
        <v>530.50900000000001</v>
      </c>
      <c r="S31" s="63">
        <v>0</v>
      </c>
      <c r="T31" s="63">
        <v>840.29</v>
      </c>
      <c r="U31" s="63">
        <v>0</v>
      </c>
      <c r="V31" s="63">
        <v>891.95799999999997</v>
      </c>
      <c r="W31" s="63">
        <v>0</v>
      </c>
      <c r="X31" s="63">
        <v>1275.6089999999999</v>
      </c>
      <c r="Y31" s="63">
        <v>0</v>
      </c>
      <c r="Z31" s="63">
        <v>1517.66</v>
      </c>
      <c r="AA31" s="63">
        <v>0</v>
      </c>
      <c r="AB31" s="63">
        <v>4384.4740000000002</v>
      </c>
      <c r="AC31" s="63">
        <v>0</v>
      </c>
      <c r="AD31" s="63">
        <v>452.38</v>
      </c>
      <c r="AE31" s="63">
        <v>0</v>
      </c>
      <c r="AF31" s="63">
        <v>5220.6899999999996</v>
      </c>
      <c r="AG31" s="63">
        <v>0</v>
      </c>
      <c r="AH31" s="60"/>
      <c r="AI31" s="20"/>
    </row>
    <row r="32" spans="1:35" s="22" customFormat="1" ht="38.25" customHeight="1" x14ac:dyDescent="0.25">
      <c r="A32" s="484" t="s">
        <v>98</v>
      </c>
      <c r="B32" s="384" t="s">
        <v>94</v>
      </c>
      <c r="C32" s="57" t="s">
        <v>20</v>
      </c>
      <c r="D32" s="58">
        <f>D34+D33</f>
        <v>9509.7000000000007</v>
      </c>
      <c r="E32" s="58">
        <f t="shared" ref="E32:G32" si="31">E34+E33</f>
        <v>0</v>
      </c>
      <c r="F32" s="58">
        <f t="shared" si="31"/>
        <v>0</v>
      </c>
      <c r="G32" s="58">
        <f t="shared" si="31"/>
        <v>0</v>
      </c>
      <c r="H32" s="58">
        <f t="shared" ref="H32" si="32">IFERROR(G32/D32*100,0)</f>
        <v>0</v>
      </c>
      <c r="I32" s="58">
        <f t="shared" ref="I32" si="33">IFERROR(G32/E32*100,0)</f>
        <v>0</v>
      </c>
      <c r="J32" s="59">
        <f>J34+J33</f>
        <v>0</v>
      </c>
      <c r="K32" s="59">
        <f t="shared" ref="K32:AG32" si="34">K34+K33</f>
        <v>0</v>
      </c>
      <c r="L32" s="59">
        <f t="shared" si="34"/>
        <v>0</v>
      </c>
      <c r="M32" s="59">
        <f t="shared" si="34"/>
        <v>0</v>
      </c>
      <c r="N32" s="59">
        <f t="shared" si="34"/>
        <v>0</v>
      </c>
      <c r="O32" s="59">
        <f t="shared" si="34"/>
        <v>0</v>
      </c>
      <c r="P32" s="59">
        <f t="shared" si="34"/>
        <v>0</v>
      </c>
      <c r="Q32" s="59">
        <f t="shared" si="34"/>
        <v>0</v>
      </c>
      <c r="R32" s="59">
        <f t="shared" si="34"/>
        <v>0</v>
      </c>
      <c r="S32" s="59">
        <f t="shared" si="34"/>
        <v>0</v>
      </c>
      <c r="T32" s="59">
        <f t="shared" si="34"/>
        <v>0</v>
      </c>
      <c r="U32" s="59">
        <f t="shared" si="34"/>
        <v>0</v>
      </c>
      <c r="V32" s="59">
        <f t="shared" si="34"/>
        <v>0</v>
      </c>
      <c r="W32" s="59">
        <f t="shared" si="34"/>
        <v>0</v>
      </c>
      <c r="X32" s="59">
        <f t="shared" si="34"/>
        <v>0</v>
      </c>
      <c r="Y32" s="59">
        <f t="shared" si="34"/>
        <v>0</v>
      </c>
      <c r="Z32" s="59">
        <f t="shared" si="34"/>
        <v>9509.7000000000007</v>
      </c>
      <c r="AA32" s="59">
        <f t="shared" si="34"/>
        <v>0</v>
      </c>
      <c r="AB32" s="59">
        <f t="shared" si="34"/>
        <v>0</v>
      </c>
      <c r="AC32" s="59">
        <f t="shared" si="34"/>
        <v>0</v>
      </c>
      <c r="AD32" s="59">
        <f t="shared" si="34"/>
        <v>0</v>
      </c>
      <c r="AE32" s="59">
        <f t="shared" si="34"/>
        <v>0</v>
      </c>
      <c r="AF32" s="59">
        <f t="shared" si="34"/>
        <v>0</v>
      </c>
      <c r="AG32" s="59">
        <f t="shared" si="34"/>
        <v>0</v>
      </c>
      <c r="AH32" s="60"/>
      <c r="AI32" s="20"/>
    </row>
    <row r="33" spans="1:35" s="22" customFormat="1" ht="58.5" hidden="1" customHeight="1" x14ac:dyDescent="0.25">
      <c r="A33" s="394"/>
      <c r="B33" s="385"/>
      <c r="C33" s="61" t="s">
        <v>22</v>
      </c>
      <c r="D33" s="62">
        <f>SUM(J33,L33,N33,P33,R33,T33,V33,X33,Z33,AB33,AD33,AF33)</f>
        <v>0</v>
      </c>
      <c r="E33" s="62">
        <f>J33</f>
        <v>0</v>
      </c>
      <c r="F33" s="62">
        <f>G33</f>
        <v>0</v>
      </c>
      <c r="G33" s="62">
        <f>SUM(K33,M33,O33,Q33,S33,U33,W33,Y33,AA33,AC33,AE33,AG33)</f>
        <v>0</v>
      </c>
      <c r="H33" s="62">
        <f>IFERROR(G33/D33*100,0)</f>
        <v>0</v>
      </c>
      <c r="I33" s="62">
        <f>IFERROR(G33/E33*100,0)</f>
        <v>0</v>
      </c>
      <c r="J33" s="63">
        <v>0</v>
      </c>
      <c r="K33" s="63">
        <v>0</v>
      </c>
      <c r="L33" s="63">
        <v>0</v>
      </c>
      <c r="M33" s="63">
        <v>0</v>
      </c>
      <c r="N33" s="63">
        <v>0</v>
      </c>
      <c r="O33" s="63">
        <v>0</v>
      </c>
      <c r="P33" s="63">
        <v>0</v>
      </c>
      <c r="Q33" s="63">
        <v>0</v>
      </c>
      <c r="R33" s="63">
        <v>0</v>
      </c>
      <c r="S33" s="63">
        <v>0</v>
      </c>
      <c r="T33" s="63">
        <v>0</v>
      </c>
      <c r="U33" s="63">
        <v>0</v>
      </c>
      <c r="V33" s="63">
        <v>0</v>
      </c>
      <c r="W33" s="63">
        <v>0</v>
      </c>
      <c r="X33" s="63">
        <v>0</v>
      </c>
      <c r="Y33" s="63">
        <v>0</v>
      </c>
      <c r="Z33" s="63">
        <v>0</v>
      </c>
      <c r="AA33" s="63">
        <v>0</v>
      </c>
      <c r="AB33" s="63">
        <v>0</v>
      </c>
      <c r="AC33" s="63">
        <v>0</v>
      </c>
      <c r="AD33" s="63">
        <v>0</v>
      </c>
      <c r="AE33" s="63">
        <v>0</v>
      </c>
      <c r="AF33" s="63">
        <v>0</v>
      </c>
      <c r="AG33" s="63">
        <v>0</v>
      </c>
      <c r="AH33" s="60"/>
      <c r="AI33" s="20"/>
    </row>
    <row r="34" spans="1:35" s="22" customFormat="1" ht="48.75" customHeight="1" x14ac:dyDescent="0.25">
      <c r="A34" s="485"/>
      <c r="B34" s="385"/>
      <c r="C34" s="61" t="s">
        <v>21</v>
      </c>
      <c r="D34" s="62">
        <f>SUM(J34,L34,N34,P34,R34,T34,V34,X34,Z34,AB34,AD34,AF34)</f>
        <v>9509.7000000000007</v>
      </c>
      <c r="E34" s="62">
        <f>J34</f>
        <v>0</v>
      </c>
      <c r="F34" s="62">
        <f>G34</f>
        <v>0</v>
      </c>
      <c r="G34" s="62">
        <f>SUM(K34,M34,O34,Q34,S34,U34,W34,Y34,AA34,AC34,AE34,AG34)</f>
        <v>0</v>
      </c>
      <c r="H34" s="62">
        <f>IFERROR(G34/D34*100,0)</f>
        <v>0</v>
      </c>
      <c r="I34" s="62">
        <f>IFERROR(G34/E34*100,0)</f>
        <v>0</v>
      </c>
      <c r="J34" s="63">
        <v>0</v>
      </c>
      <c r="K34" s="63">
        <v>0</v>
      </c>
      <c r="L34" s="63">
        <v>0</v>
      </c>
      <c r="M34" s="63">
        <v>0</v>
      </c>
      <c r="N34" s="63">
        <v>0</v>
      </c>
      <c r="O34" s="63">
        <v>0</v>
      </c>
      <c r="P34" s="63">
        <v>0</v>
      </c>
      <c r="Q34" s="63">
        <v>0</v>
      </c>
      <c r="R34" s="63">
        <v>0</v>
      </c>
      <c r="S34" s="63">
        <v>0</v>
      </c>
      <c r="T34" s="63">
        <v>0</v>
      </c>
      <c r="U34" s="63">
        <v>0</v>
      </c>
      <c r="V34" s="63">
        <v>0</v>
      </c>
      <c r="W34" s="63">
        <v>0</v>
      </c>
      <c r="X34" s="63">
        <v>0</v>
      </c>
      <c r="Y34" s="63">
        <v>0</v>
      </c>
      <c r="Z34" s="63">
        <v>9509.7000000000007</v>
      </c>
      <c r="AA34" s="63">
        <v>0</v>
      </c>
      <c r="AB34" s="63">
        <v>0</v>
      </c>
      <c r="AC34" s="63">
        <v>0</v>
      </c>
      <c r="AD34" s="63">
        <v>0</v>
      </c>
      <c r="AE34" s="63">
        <v>0</v>
      </c>
      <c r="AF34" s="63">
        <v>0</v>
      </c>
      <c r="AG34" s="63">
        <v>0</v>
      </c>
      <c r="AH34" s="60"/>
      <c r="AI34" s="20"/>
    </row>
    <row r="35" spans="1:35" s="22" customFormat="1" ht="48.75" customHeight="1" x14ac:dyDescent="0.25">
      <c r="A35" s="487" t="s">
        <v>101</v>
      </c>
      <c r="B35" s="384" t="s">
        <v>95</v>
      </c>
      <c r="C35" s="57" t="s">
        <v>20</v>
      </c>
      <c r="D35" s="58">
        <f>D37+D36</f>
        <v>5420.3</v>
      </c>
      <c r="E35" s="58">
        <f t="shared" ref="E35" si="35">E37+E36</f>
        <v>0</v>
      </c>
      <c r="F35" s="58">
        <f t="shared" ref="F35" si="36">F37+F36</f>
        <v>0</v>
      </c>
      <c r="G35" s="58">
        <f t="shared" ref="G35" si="37">G37+G36</f>
        <v>0</v>
      </c>
      <c r="H35" s="58">
        <f t="shared" ref="H35" si="38">IFERROR(G35/D35*100,0)</f>
        <v>0</v>
      </c>
      <c r="I35" s="58">
        <f t="shared" ref="I35" si="39">IFERROR(G35/E35*100,0)</f>
        <v>0</v>
      </c>
      <c r="J35" s="59">
        <f>J37+J36</f>
        <v>0</v>
      </c>
      <c r="K35" s="59">
        <f t="shared" ref="K35" si="40">K37+K36</f>
        <v>0</v>
      </c>
      <c r="L35" s="59">
        <f t="shared" ref="L35" si="41">L37+L36</f>
        <v>0</v>
      </c>
      <c r="M35" s="59">
        <f t="shared" ref="M35" si="42">M37+M36</f>
        <v>0</v>
      </c>
      <c r="N35" s="59">
        <f t="shared" ref="N35" si="43">N37+N36</f>
        <v>0</v>
      </c>
      <c r="O35" s="59">
        <f t="shared" ref="O35" si="44">O37+O36</f>
        <v>0</v>
      </c>
      <c r="P35" s="59">
        <f t="shared" ref="P35" si="45">P37+P36</f>
        <v>0</v>
      </c>
      <c r="Q35" s="59">
        <f t="shared" ref="Q35" si="46">Q37+Q36</f>
        <v>0</v>
      </c>
      <c r="R35" s="59">
        <f t="shared" ref="R35" si="47">R37+R36</f>
        <v>0</v>
      </c>
      <c r="S35" s="59">
        <f t="shared" ref="S35" si="48">S37+S36</f>
        <v>0</v>
      </c>
      <c r="T35" s="59">
        <f t="shared" ref="T35" si="49">T37+T36</f>
        <v>0</v>
      </c>
      <c r="U35" s="59">
        <f t="shared" ref="U35" si="50">U37+U36</f>
        <v>0</v>
      </c>
      <c r="V35" s="59">
        <f t="shared" ref="V35" si="51">V37+V36</f>
        <v>0</v>
      </c>
      <c r="W35" s="59">
        <f t="shared" ref="W35" si="52">W37+W36</f>
        <v>0</v>
      </c>
      <c r="X35" s="59">
        <f t="shared" ref="X35" si="53">X37+X36</f>
        <v>0</v>
      </c>
      <c r="Y35" s="59">
        <f t="shared" ref="Y35" si="54">Y37+Y36</f>
        <v>0</v>
      </c>
      <c r="Z35" s="59">
        <f t="shared" ref="Z35" si="55">Z37+Z36</f>
        <v>0</v>
      </c>
      <c r="AA35" s="59">
        <f t="shared" ref="AA35" si="56">AA37+AA36</f>
        <v>0</v>
      </c>
      <c r="AB35" s="59">
        <f t="shared" ref="AB35" si="57">AB37+AB36</f>
        <v>0</v>
      </c>
      <c r="AC35" s="59">
        <f t="shared" ref="AC35" si="58">AC37+AC36</f>
        <v>0</v>
      </c>
      <c r="AD35" s="59">
        <f t="shared" ref="AD35" si="59">AD37+AD36</f>
        <v>5420.3</v>
      </c>
      <c r="AE35" s="59">
        <f t="shared" ref="AE35" si="60">AE37+AE36</f>
        <v>0</v>
      </c>
      <c r="AF35" s="59">
        <f t="shared" ref="AF35" si="61">AF37+AF36</f>
        <v>0</v>
      </c>
      <c r="AG35" s="59">
        <f t="shared" ref="AG35" si="62">AG37+AG36</f>
        <v>0</v>
      </c>
      <c r="AH35" s="60"/>
      <c r="AI35" s="20"/>
    </row>
    <row r="36" spans="1:35" s="22" customFormat="1" ht="48.75" hidden="1" customHeight="1" x14ac:dyDescent="0.25">
      <c r="A36" s="394"/>
      <c r="B36" s="385"/>
      <c r="C36" s="61" t="s">
        <v>22</v>
      </c>
      <c r="D36" s="62">
        <f>SUM(J36,L36,N36,P36,R36,T36,V36,X36,Z36,AB36,AD36,AF36)</f>
        <v>0</v>
      </c>
      <c r="E36" s="62">
        <f>J36</f>
        <v>0</v>
      </c>
      <c r="F36" s="62">
        <f>G36</f>
        <v>0</v>
      </c>
      <c r="G36" s="62">
        <f>SUM(K36,M36,O36,Q36,S36,U36,W36,Y36,AA36,AC36,AE36,AG36)</f>
        <v>0</v>
      </c>
      <c r="H36" s="62">
        <f>IFERROR(G36/D36*100,0)</f>
        <v>0</v>
      </c>
      <c r="I36" s="62">
        <f>IFERROR(G36/E36*100,0)</f>
        <v>0</v>
      </c>
      <c r="J36" s="63">
        <v>0</v>
      </c>
      <c r="K36" s="63">
        <v>0</v>
      </c>
      <c r="L36" s="63">
        <v>0</v>
      </c>
      <c r="M36" s="63">
        <v>0</v>
      </c>
      <c r="N36" s="63">
        <v>0</v>
      </c>
      <c r="O36" s="63">
        <v>0</v>
      </c>
      <c r="P36" s="63">
        <v>0</v>
      </c>
      <c r="Q36" s="63">
        <v>0</v>
      </c>
      <c r="R36" s="63">
        <v>0</v>
      </c>
      <c r="S36" s="63">
        <v>0</v>
      </c>
      <c r="T36" s="63">
        <v>0</v>
      </c>
      <c r="U36" s="63">
        <v>0</v>
      </c>
      <c r="V36" s="63">
        <v>0</v>
      </c>
      <c r="W36" s="63">
        <v>0</v>
      </c>
      <c r="X36" s="63">
        <v>0</v>
      </c>
      <c r="Y36" s="63">
        <v>0</v>
      </c>
      <c r="Z36" s="63">
        <v>0</v>
      </c>
      <c r="AA36" s="63">
        <v>0</v>
      </c>
      <c r="AB36" s="63">
        <v>0</v>
      </c>
      <c r="AC36" s="63">
        <v>0</v>
      </c>
      <c r="AD36" s="63">
        <v>0</v>
      </c>
      <c r="AE36" s="63">
        <v>0</v>
      </c>
      <c r="AF36" s="63">
        <v>0</v>
      </c>
      <c r="AG36" s="63">
        <v>0</v>
      </c>
      <c r="AH36" s="60"/>
      <c r="AI36" s="20"/>
    </row>
    <row r="37" spans="1:35" s="22" customFormat="1" ht="48.75" customHeight="1" x14ac:dyDescent="0.25">
      <c r="A37" s="485"/>
      <c r="B37" s="385"/>
      <c r="C37" s="61" t="s">
        <v>21</v>
      </c>
      <c r="D37" s="62">
        <f>SUM(J37,L37,N37,P37,R37,T37,V37,X37,Z37,AB37,AD37,AF37)</f>
        <v>5420.3</v>
      </c>
      <c r="E37" s="62">
        <f>J37</f>
        <v>0</v>
      </c>
      <c r="F37" s="62">
        <f>G37</f>
        <v>0</v>
      </c>
      <c r="G37" s="62">
        <f>SUM(K37,M37,O37,Q37,S37,U37,W37,Y37,AA37,AC37,AE37,AG37)</f>
        <v>0</v>
      </c>
      <c r="H37" s="62">
        <f>IFERROR(G37/D37*100,0)</f>
        <v>0</v>
      </c>
      <c r="I37" s="62">
        <f>IFERROR(G37/E37*100,0)</f>
        <v>0</v>
      </c>
      <c r="J37" s="63">
        <v>0</v>
      </c>
      <c r="K37" s="63">
        <v>0</v>
      </c>
      <c r="L37" s="63">
        <v>0</v>
      </c>
      <c r="M37" s="63">
        <v>0</v>
      </c>
      <c r="N37" s="63">
        <v>0</v>
      </c>
      <c r="O37" s="63">
        <v>0</v>
      </c>
      <c r="P37" s="63">
        <v>0</v>
      </c>
      <c r="Q37" s="63">
        <v>0</v>
      </c>
      <c r="R37" s="63">
        <v>0</v>
      </c>
      <c r="S37" s="63">
        <v>0</v>
      </c>
      <c r="T37" s="63">
        <v>0</v>
      </c>
      <c r="U37" s="63">
        <v>0</v>
      </c>
      <c r="V37" s="63">
        <v>0</v>
      </c>
      <c r="W37" s="63">
        <v>0</v>
      </c>
      <c r="X37" s="63">
        <v>0</v>
      </c>
      <c r="Y37" s="63">
        <v>0</v>
      </c>
      <c r="Z37" s="63">
        <v>0</v>
      </c>
      <c r="AA37" s="63">
        <v>0</v>
      </c>
      <c r="AB37" s="63">
        <v>0</v>
      </c>
      <c r="AC37" s="63">
        <v>0</v>
      </c>
      <c r="AD37" s="63">
        <v>5420.3</v>
      </c>
      <c r="AE37" s="63">
        <v>0</v>
      </c>
      <c r="AF37" s="63">
        <v>0</v>
      </c>
      <c r="AG37" s="63">
        <v>0</v>
      </c>
      <c r="AH37" s="60"/>
      <c r="AI37" s="20"/>
    </row>
    <row r="38" spans="1:35" s="22" customFormat="1" ht="48.75" customHeight="1" x14ac:dyDescent="0.25">
      <c r="A38" s="487" t="s">
        <v>102</v>
      </c>
      <c r="B38" s="411" t="s">
        <v>96</v>
      </c>
      <c r="C38" s="57" t="s">
        <v>20</v>
      </c>
      <c r="D38" s="58">
        <f>D40+D39</f>
        <v>113064.255</v>
      </c>
      <c r="E38" s="58">
        <f t="shared" ref="E38" si="63">E40+E39</f>
        <v>0</v>
      </c>
      <c r="F38" s="58">
        <f t="shared" ref="F38" si="64">F40+F39</f>
        <v>0</v>
      </c>
      <c r="G38" s="58">
        <f t="shared" ref="G38" si="65">G40+G39</f>
        <v>0</v>
      </c>
      <c r="H38" s="58">
        <f t="shared" ref="H38" si="66">IFERROR(G38/D38*100,0)</f>
        <v>0</v>
      </c>
      <c r="I38" s="58">
        <f t="shared" ref="I38" si="67">IFERROR(G38/E38*100,0)</f>
        <v>0</v>
      </c>
      <c r="J38" s="59">
        <f>J40+J39</f>
        <v>0</v>
      </c>
      <c r="K38" s="59">
        <f t="shared" ref="K38" si="68">K40+K39</f>
        <v>0</v>
      </c>
      <c r="L38" s="59">
        <f t="shared" ref="L38" si="69">L40+L39</f>
        <v>0</v>
      </c>
      <c r="M38" s="59">
        <f t="shared" ref="M38" si="70">M40+M39</f>
        <v>0</v>
      </c>
      <c r="N38" s="59">
        <f t="shared" ref="N38" si="71">N40+N39</f>
        <v>0</v>
      </c>
      <c r="O38" s="59">
        <f t="shared" ref="O38" si="72">O40+O39</f>
        <v>0</v>
      </c>
      <c r="P38" s="59">
        <f t="shared" ref="P38" si="73">P40+P39</f>
        <v>0</v>
      </c>
      <c r="Q38" s="59">
        <f t="shared" ref="Q38" si="74">Q40+Q39</f>
        <v>0</v>
      </c>
      <c r="R38" s="59">
        <f t="shared" ref="R38" si="75">R40+R39</f>
        <v>0</v>
      </c>
      <c r="S38" s="59">
        <f t="shared" ref="S38" si="76">S40+S39</f>
        <v>0</v>
      </c>
      <c r="T38" s="59">
        <f t="shared" ref="T38" si="77">T40+T39</f>
        <v>0</v>
      </c>
      <c r="U38" s="59">
        <f t="shared" ref="U38" si="78">U40+U39</f>
        <v>0</v>
      </c>
      <c r="V38" s="59">
        <f t="shared" ref="V38" si="79">V40+V39</f>
        <v>0</v>
      </c>
      <c r="W38" s="59">
        <f t="shared" ref="W38" si="80">W40+W39</f>
        <v>0</v>
      </c>
      <c r="X38" s="59">
        <f t="shared" ref="X38" si="81">X40+X39</f>
        <v>0</v>
      </c>
      <c r="Y38" s="59">
        <f t="shared" ref="Y38" si="82">Y40+Y39</f>
        <v>0</v>
      </c>
      <c r="Z38" s="59">
        <f t="shared" ref="Z38" si="83">Z40+Z39</f>
        <v>0</v>
      </c>
      <c r="AA38" s="59">
        <f t="shared" ref="AA38" si="84">AA40+AA39</f>
        <v>0</v>
      </c>
      <c r="AB38" s="59">
        <f t="shared" ref="AB38" si="85">AB40+AB39</f>
        <v>47207.5</v>
      </c>
      <c r="AC38" s="59">
        <f t="shared" ref="AC38" si="86">AC40+AC39</f>
        <v>0</v>
      </c>
      <c r="AD38" s="59">
        <f t="shared" ref="AD38" si="87">AD40+AD39</f>
        <v>388.9</v>
      </c>
      <c r="AE38" s="59">
        <f t="shared" ref="AE38" si="88">AE40+AE39</f>
        <v>0</v>
      </c>
      <c r="AF38" s="59">
        <f t="shared" ref="AF38" si="89">AF40+AF39</f>
        <v>65467.855000000003</v>
      </c>
      <c r="AG38" s="59">
        <f t="shared" ref="AG38" si="90">AG40+AG39</f>
        <v>0</v>
      </c>
      <c r="AH38" s="60"/>
      <c r="AI38" s="20"/>
    </row>
    <row r="39" spans="1:35" s="22" customFormat="1" ht="54.75" customHeight="1" x14ac:dyDescent="0.25">
      <c r="A39" s="394"/>
      <c r="B39" s="412"/>
      <c r="C39" s="61" t="s">
        <v>22</v>
      </c>
      <c r="D39" s="62">
        <f>SUM(J39,L39,N39,P39,R39,T39,V39,X39,Z39,AB39,AD39,AF39)</f>
        <v>26873.4</v>
      </c>
      <c r="E39" s="62">
        <f>J39</f>
        <v>0</v>
      </c>
      <c r="F39" s="62">
        <f>G39</f>
        <v>0</v>
      </c>
      <c r="G39" s="62">
        <f>SUM(K39,M39,O39,Q39,S39,U39,W39,Y39,AA39,AC39,AE39,AG39)</f>
        <v>0</v>
      </c>
      <c r="H39" s="62">
        <f>IFERROR(G39/D39*100,0)</f>
        <v>0</v>
      </c>
      <c r="I39" s="62">
        <f>IFERROR(G39/E39*100,0)</f>
        <v>0</v>
      </c>
      <c r="J39" s="63">
        <v>0</v>
      </c>
      <c r="K39" s="63">
        <v>0</v>
      </c>
      <c r="L39" s="63">
        <v>0</v>
      </c>
      <c r="M39" s="63">
        <v>0</v>
      </c>
      <c r="N39" s="63">
        <v>0</v>
      </c>
      <c r="O39" s="63">
        <v>0</v>
      </c>
      <c r="P39" s="63">
        <v>0</v>
      </c>
      <c r="Q39" s="63">
        <v>0</v>
      </c>
      <c r="R39" s="63">
        <v>0</v>
      </c>
      <c r="S39" s="63">
        <v>0</v>
      </c>
      <c r="T39" s="63">
        <v>0</v>
      </c>
      <c r="U39" s="63">
        <v>0</v>
      </c>
      <c r="V39" s="63">
        <v>0</v>
      </c>
      <c r="W39" s="63">
        <v>0</v>
      </c>
      <c r="X39" s="63">
        <v>0</v>
      </c>
      <c r="Y39" s="63">
        <v>0</v>
      </c>
      <c r="Z39" s="63">
        <v>0</v>
      </c>
      <c r="AA39" s="63">
        <v>0</v>
      </c>
      <c r="AB39" s="63">
        <v>26873.4</v>
      </c>
      <c r="AC39" s="63">
        <v>0</v>
      </c>
      <c r="AD39" s="63">
        <v>0</v>
      </c>
      <c r="AE39" s="63">
        <v>0</v>
      </c>
      <c r="AF39" s="63">
        <v>0</v>
      </c>
      <c r="AG39" s="63">
        <v>0</v>
      </c>
      <c r="AH39" s="60"/>
      <c r="AI39" s="20"/>
    </row>
    <row r="40" spans="1:35" s="22" customFormat="1" ht="48.75" customHeight="1" x14ac:dyDescent="0.25">
      <c r="A40" s="485"/>
      <c r="B40" s="412"/>
      <c r="C40" s="61" t="s">
        <v>21</v>
      </c>
      <c r="D40" s="62">
        <f>SUM(J40,L40,N40,P40,R40,T40,V40,X40,Z40,AB40,AD40,AF40)</f>
        <v>86190.85500000001</v>
      </c>
      <c r="E40" s="62">
        <f>J40</f>
        <v>0</v>
      </c>
      <c r="F40" s="62">
        <f>G40</f>
        <v>0</v>
      </c>
      <c r="G40" s="62">
        <f>SUM(K40,M40,O40,Q40,S40,U40,W40,Y40,AA40,AC40,AE40,AG40)</f>
        <v>0</v>
      </c>
      <c r="H40" s="62">
        <f>IFERROR(G40/D40*100,0)</f>
        <v>0</v>
      </c>
      <c r="I40" s="62">
        <f>IFERROR(G40/E40*100,0)</f>
        <v>0</v>
      </c>
      <c r="J40" s="63">
        <v>0</v>
      </c>
      <c r="K40" s="63">
        <v>0</v>
      </c>
      <c r="L40" s="63">
        <v>0</v>
      </c>
      <c r="M40" s="63">
        <v>0</v>
      </c>
      <c r="N40" s="63">
        <v>0</v>
      </c>
      <c r="O40" s="63">
        <v>0</v>
      </c>
      <c r="P40" s="63">
        <v>0</v>
      </c>
      <c r="Q40" s="63">
        <v>0</v>
      </c>
      <c r="R40" s="63">
        <v>0</v>
      </c>
      <c r="S40" s="63">
        <v>0</v>
      </c>
      <c r="T40" s="63">
        <v>0</v>
      </c>
      <c r="U40" s="63">
        <v>0</v>
      </c>
      <c r="V40" s="63">
        <v>0</v>
      </c>
      <c r="W40" s="63">
        <v>0</v>
      </c>
      <c r="X40" s="63">
        <v>0</v>
      </c>
      <c r="Y40" s="63">
        <v>0</v>
      </c>
      <c r="Z40" s="63">
        <v>0</v>
      </c>
      <c r="AA40" s="63">
        <v>0</v>
      </c>
      <c r="AB40" s="63">
        <v>20334.099999999999</v>
      </c>
      <c r="AC40" s="63">
        <v>0</v>
      </c>
      <c r="AD40" s="63">
        <v>388.9</v>
      </c>
      <c r="AE40" s="63">
        <v>0</v>
      </c>
      <c r="AF40" s="63">
        <v>65467.855000000003</v>
      </c>
      <c r="AG40" s="63">
        <v>0</v>
      </c>
      <c r="AH40" s="60"/>
      <c r="AI40" s="20"/>
    </row>
    <row r="41" spans="1:35" s="22" customFormat="1" ht="25.5" customHeight="1" x14ac:dyDescent="0.25">
      <c r="A41" s="115"/>
      <c r="B41" s="370" t="s">
        <v>89</v>
      </c>
      <c r="C41" s="371"/>
      <c r="D41" s="371"/>
      <c r="E41" s="371"/>
      <c r="F41" s="371"/>
      <c r="G41" s="371"/>
      <c r="H41" s="371"/>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2"/>
      <c r="AH41" s="48"/>
      <c r="AI41" s="20"/>
    </row>
    <row r="42" spans="1:35" s="22" customFormat="1" ht="44.25" customHeight="1" x14ac:dyDescent="0.25">
      <c r="A42" s="379" t="s">
        <v>63</v>
      </c>
      <c r="B42" s="361" t="s">
        <v>97</v>
      </c>
      <c r="C42" s="57" t="s">
        <v>20</v>
      </c>
      <c r="D42" s="58">
        <f>SUM(J42,L42,N42,P42,R42,T42,V42,X42,Z42,AB42,AD42,AF42)</f>
        <v>6185.5830000000005</v>
      </c>
      <c r="E42" s="58">
        <f>E43+E44</f>
        <v>299.541</v>
      </c>
      <c r="F42" s="58">
        <f>F43+F44</f>
        <v>0</v>
      </c>
      <c r="G42" s="58">
        <f>G43+G44</f>
        <v>0</v>
      </c>
      <c r="H42" s="58">
        <f t="shared" si="12"/>
        <v>0</v>
      </c>
      <c r="I42" s="58">
        <f t="shared" si="13"/>
        <v>0</v>
      </c>
      <c r="J42" s="59">
        <f>J43+J44</f>
        <v>299.541</v>
      </c>
      <c r="K42" s="59">
        <f t="shared" ref="K42:AG42" si="91">K43+K44</f>
        <v>0</v>
      </c>
      <c r="L42" s="59">
        <f t="shared" si="91"/>
        <v>430.86099999999999</v>
      </c>
      <c r="M42" s="59">
        <f t="shared" si="91"/>
        <v>0</v>
      </c>
      <c r="N42" s="59">
        <f t="shared" si="91"/>
        <v>430.86099999999999</v>
      </c>
      <c r="O42" s="59">
        <f t="shared" si="91"/>
        <v>0</v>
      </c>
      <c r="P42" s="59">
        <f t="shared" si="91"/>
        <v>556.76</v>
      </c>
      <c r="Q42" s="59">
        <f t="shared" si="91"/>
        <v>0</v>
      </c>
      <c r="R42" s="59">
        <f t="shared" si="91"/>
        <v>430.86099999999999</v>
      </c>
      <c r="S42" s="59">
        <f t="shared" si="91"/>
        <v>0</v>
      </c>
      <c r="T42" s="59">
        <f t="shared" si="91"/>
        <v>436.34500000000003</v>
      </c>
      <c r="U42" s="59">
        <f t="shared" si="91"/>
        <v>0</v>
      </c>
      <c r="V42" s="59">
        <f t="shared" si="91"/>
        <v>430.86</v>
      </c>
      <c r="W42" s="59">
        <f t="shared" si="91"/>
        <v>0</v>
      </c>
      <c r="X42" s="59">
        <f t="shared" si="91"/>
        <v>430.86</v>
      </c>
      <c r="Y42" s="59">
        <f t="shared" si="91"/>
        <v>0</v>
      </c>
      <c r="Z42" s="59">
        <f t="shared" si="91"/>
        <v>430.86099999999999</v>
      </c>
      <c r="AA42" s="59">
        <f t="shared" si="91"/>
        <v>0</v>
      </c>
      <c r="AB42" s="59">
        <f t="shared" si="91"/>
        <v>430.86</v>
      </c>
      <c r="AC42" s="59">
        <f t="shared" si="91"/>
        <v>0</v>
      </c>
      <c r="AD42" s="59">
        <f t="shared" si="91"/>
        <v>1213.376</v>
      </c>
      <c r="AE42" s="59">
        <f t="shared" si="91"/>
        <v>0</v>
      </c>
      <c r="AF42" s="59">
        <f t="shared" si="91"/>
        <v>663.53700000000003</v>
      </c>
      <c r="AG42" s="59">
        <f t="shared" si="91"/>
        <v>0</v>
      </c>
      <c r="AH42" s="60"/>
      <c r="AI42" s="20"/>
    </row>
    <row r="43" spans="1:35" s="22" customFormat="1" ht="49.5" hidden="1" customHeight="1" x14ac:dyDescent="0.25">
      <c r="A43" s="380"/>
      <c r="B43" s="362"/>
      <c r="C43" s="61" t="s">
        <v>52</v>
      </c>
      <c r="D43" s="62">
        <f>SUM(J43,L43,N43,P43,R43,T43,V43,X43,Z43,AB43,AD43,AF43)</f>
        <v>0</v>
      </c>
      <c r="E43" s="62">
        <f>J43</f>
        <v>0</v>
      </c>
      <c r="F43" s="62">
        <f>G43</f>
        <v>0</v>
      </c>
      <c r="G43" s="62">
        <f>SUM(K43,M43,O43,Q43,S43,U43,W43,Y43,AA43,AC43,AE43,AG43)</f>
        <v>0</v>
      </c>
      <c r="H43" s="62">
        <f t="shared" si="12"/>
        <v>0</v>
      </c>
      <c r="I43" s="62">
        <f t="shared" si="13"/>
        <v>0</v>
      </c>
      <c r="J43" s="63">
        <v>0</v>
      </c>
      <c r="K43" s="63">
        <v>0</v>
      </c>
      <c r="L43" s="63">
        <v>0</v>
      </c>
      <c r="M43" s="63">
        <v>0</v>
      </c>
      <c r="N43" s="63">
        <v>0</v>
      </c>
      <c r="O43" s="63">
        <v>0</v>
      </c>
      <c r="P43" s="63">
        <v>0</v>
      </c>
      <c r="Q43" s="63">
        <v>0</v>
      </c>
      <c r="R43" s="63">
        <v>0</v>
      </c>
      <c r="S43" s="63">
        <v>0</v>
      </c>
      <c r="T43" s="63">
        <v>0</v>
      </c>
      <c r="U43" s="63">
        <v>0</v>
      </c>
      <c r="V43" s="63">
        <v>0</v>
      </c>
      <c r="W43" s="63">
        <v>0</v>
      </c>
      <c r="X43" s="63">
        <v>0</v>
      </c>
      <c r="Y43" s="63">
        <v>0</v>
      </c>
      <c r="Z43" s="63">
        <v>0</v>
      </c>
      <c r="AA43" s="63">
        <v>0</v>
      </c>
      <c r="AB43" s="63">
        <v>0</v>
      </c>
      <c r="AC43" s="63">
        <v>0</v>
      </c>
      <c r="AD43" s="63">
        <v>0</v>
      </c>
      <c r="AE43" s="63">
        <v>0</v>
      </c>
      <c r="AF43" s="63">
        <v>0</v>
      </c>
      <c r="AG43" s="63">
        <v>0</v>
      </c>
      <c r="AH43" s="60"/>
      <c r="AI43" s="20"/>
    </row>
    <row r="44" spans="1:35" s="22" customFormat="1" ht="66.75" customHeight="1" x14ac:dyDescent="0.25">
      <c r="A44" s="486"/>
      <c r="B44" s="363"/>
      <c r="C44" s="61" t="s">
        <v>21</v>
      </c>
      <c r="D44" s="62">
        <f>SUM(J44,L44,N44,P44,R44,T44,V44,X44,Z44,AB44,AD44,AF44)</f>
        <v>6185.5830000000005</v>
      </c>
      <c r="E44" s="62">
        <f>J44</f>
        <v>299.541</v>
      </c>
      <c r="F44" s="62">
        <f>G44</f>
        <v>0</v>
      </c>
      <c r="G44" s="62">
        <f>SUM(K44,M44,O44,Q44,S44,U44,W44,Y44,AA44,AC44,AE44,AG44)</f>
        <v>0</v>
      </c>
      <c r="H44" s="62">
        <f t="shared" si="12"/>
        <v>0</v>
      </c>
      <c r="I44" s="62">
        <f t="shared" si="13"/>
        <v>0</v>
      </c>
      <c r="J44" s="63">
        <v>299.541</v>
      </c>
      <c r="K44" s="63">
        <v>0</v>
      </c>
      <c r="L44" s="63">
        <v>430.86099999999999</v>
      </c>
      <c r="M44" s="63">
        <v>0</v>
      </c>
      <c r="N44" s="63">
        <v>430.86099999999999</v>
      </c>
      <c r="O44" s="63">
        <v>0</v>
      </c>
      <c r="P44" s="63">
        <v>556.76</v>
      </c>
      <c r="Q44" s="63">
        <v>0</v>
      </c>
      <c r="R44" s="63">
        <v>430.86099999999999</v>
      </c>
      <c r="S44" s="63">
        <v>0</v>
      </c>
      <c r="T44" s="63">
        <v>436.34500000000003</v>
      </c>
      <c r="U44" s="63">
        <v>0</v>
      </c>
      <c r="V44" s="63">
        <v>430.86</v>
      </c>
      <c r="W44" s="63">
        <v>0</v>
      </c>
      <c r="X44" s="63">
        <v>430.86</v>
      </c>
      <c r="Y44" s="63">
        <v>0</v>
      </c>
      <c r="Z44" s="63">
        <v>430.86099999999999</v>
      </c>
      <c r="AA44" s="63">
        <v>0</v>
      </c>
      <c r="AB44" s="63">
        <v>430.86</v>
      </c>
      <c r="AC44" s="63">
        <v>0</v>
      </c>
      <c r="AD44" s="63">
        <v>1213.376</v>
      </c>
      <c r="AE44" s="63">
        <v>0</v>
      </c>
      <c r="AF44" s="63">
        <v>663.53700000000003</v>
      </c>
      <c r="AG44" s="63">
        <v>0</v>
      </c>
      <c r="AH44" s="60"/>
      <c r="AI44" s="20"/>
    </row>
  </sheetData>
  <customSheetViews>
    <customSheetView guid="{2940A182-D1A7-43C5-8D6E-965BED4371B0}" scale="80" hiddenRows="1" state="hidden">
      <pane xSplit="6" ySplit="7" topLeftCell="G10" activePane="bottomRight" state="frozen"/>
      <selection pane="bottomRight" activeCell="L20" sqref="L20"/>
      <pageMargins left="0.7" right="0.7" top="0.75" bottom="0.75" header="0.3" footer="0.3"/>
      <pageSetup paperSize="9" orientation="portrait" r:id="rId1"/>
    </customSheetView>
    <customSheetView guid="{BBF6B43F-E0FC-43DF-B91C-674F6AB4B556}" scale="80" hiddenRows="1">
      <pane xSplit="6" ySplit="7" topLeftCell="G8" activePane="bottomRight" state="frozen"/>
      <selection pane="bottomRight" activeCell="H8" sqref="H8:I8"/>
      <pageMargins left="0.7" right="0.7" top="0.75" bottom="0.75" header="0.3" footer="0.3"/>
      <pageSetup paperSize="9" orientation="portrait" r:id="rId2"/>
    </customSheetView>
    <customSheetView guid="{30B635D9-57DB-47D5-8A0F-4B30DD769960}" scale="80" hiddenRows="1">
      <pane xSplit="6" ySplit="7" topLeftCell="G8" activePane="bottomRight" state="frozen"/>
      <selection pane="bottomRight" activeCell="H8" sqref="H8:I8"/>
      <pageMargins left="0.7" right="0.7" top="0.75" bottom="0.75" header="0.3" footer="0.3"/>
      <pageSetup paperSize="9" orientation="portrait" r:id="rId3"/>
    </customSheetView>
    <customSheetView guid="{DAEDC989-02E7-4319-8354-59410ACF3F1F}" scale="80" hiddenRows="1">
      <pane xSplit="6" ySplit="7" topLeftCell="G10" activePane="bottomRight" state="frozen"/>
      <selection pane="bottomRight" activeCell="L20" sqref="L20"/>
      <pageMargins left="0.7" right="0.7" top="0.75" bottom="0.75" header="0.3" footer="0.3"/>
      <pageSetup paperSize="9" orientation="portrait" r:id="rId4"/>
    </customSheetView>
    <customSheetView guid="{21E1D423-7B38-4272-8354-09B4DB62C9EB}" scale="80" hiddenRows="1">
      <pane xSplit="6" ySplit="7" topLeftCell="G10" activePane="bottomRight" state="frozen"/>
      <selection pane="bottomRight" activeCell="L20" sqref="L20"/>
      <pageMargins left="0.7" right="0.7" top="0.75" bottom="0.75" header="0.3" footer="0.3"/>
      <pageSetup paperSize="9" orientation="portrait" r:id="rId5"/>
    </customSheetView>
    <customSheetView guid="{EA46B61D-849C-4795-A4FF-F8F1740022EB}" scale="80" hiddenRows="1">
      <pane xSplit="6" ySplit="7" topLeftCell="G10" activePane="bottomRight" state="frozen"/>
      <selection pane="bottomRight" activeCell="L20" sqref="L20"/>
      <pageMargins left="0.7" right="0.7" top="0.75" bottom="0.75" header="0.3" footer="0.3"/>
      <pageSetup paperSize="9" orientation="portrait" r:id="rId6"/>
    </customSheetView>
    <customSheetView guid="{A0E2FBF6-E560-4343-8BE6-217DC798135B}" scale="80" hiddenRows="1">
      <pane xSplit="6" ySplit="7" topLeftCell="G10" activePane="bottomRight" state="frozen"/>
      <selection pane="bottomRight" activeCell="L20" sqref="L20"/>
      <pageMargins left="0.7" right="0.7" top="0.75" bottom="0.75" header="0.3" footer="0.3"/>
      <pageSetup paperSize="9" orientation="portrait" r:id="rId7"/>
    </customSheetView>
    <customSheetView guid="{20A05A62-CBE8-4538-BBC3-2AD9D3B8FAC0}" scale="80" hiddenRows="1">
      <pane xSplit="6" ySplit="7" topLeftCell="G10" activePane="bottomRight" state="frozen"/>
      <selection pane="bottomRight" activeCell="L20" sqref="L20"/>
      <pageMargins left="0.7" right="0.7" top="0.75" bottom="0.75" header="0.3" footer="0.3"/>
      <pageSetup paperSize="9" orientation="portrait" r:id="rId8"/>
    </customSheetView>
    <customSheetView guid="{A4AF2100-C59D-4F60-9EAB-56D9103463F7}" scale="80" hiddenRows="1">
      <pane xSplit="6" ySplit="7" topLeftCell="G10" activePane="bottomRight" state="frozen"/>
      <selection pane="bottomRight" activeCell="L20" sqref="L20"/>
      <pageMargins left="0.7" right="0.7" top="0.75" bottom="0.75" header="0.3" footer="0.3"/>
      <pageSetup paperSize="9" orientation="portrait" r:id="rId9"/>
    </customSheetView>
    <customSheetView guid="{AB9978E4-895D-4050-8F07-2484E22632D1}" scale="80" hiddenRows="1">
      <pane xSplit="6" ySplit="7" topLeftCell="G8" activePane="bottomRight" state="frozen"/>
      <selection pane="bottomRight" activeCell="H8" sqref="H8:I8"/>
      <pageMargins left="0.7" right="0.7" top="0.75" bottom="0.75" header="0.3" footer="0.3"/>
      <pageSetup paperSize="9" orientation="portrait" r:id="rId10"/>
    </customSheetView>
    <customSheetView guid="{519948E4-0B24-465F-9D9E-44BE50D1D647}" scale="80" hiddenRows="1">
      <pane xSplit="6" ySplit="7" topLeftCell="G10" activePane="bottomRight" state="frozen"/>
      <selection pane="bottomRight" activeCell="L20" sqref="L20"/>
      <pageMargins left="0.7" right="0.7" top="0.75" bottom="0.75" header="0.3" footer="0.3"/>
      <pageSetup paperSize="9" orientation="portrait" r:id="rId11"/>
    </customSheetView>
    <customSheetView guid="{C7DC638A-7F60-46C9-A1FB-9ADEAE87F332}" scale="80" hiddenRows="1">
      <pane xSplit="6" ySplit="7" topLeftCell="G10" activePane="bottomRight" state="frozen"/>
      <selection pane="bottomRight" activeCell="L20" sqref="L20"/>
      <pageMargins left="0.7" right="0.7" top="0.75" bottom="0.75" header="0.3" footer="0.3"/>
      <pageSetup paperSize="9" orientation="portrait" r:id="rId12"/>
    </customSheetView>
    <customSheetView guid="{2A5A11D4-90C6-4A3E-8165-7D7BD634B22F}" scale="80" hiddenRows="1">
      <pane xSplit="6" ySplit="7" topLeftCell="G10" activePane="bottomRight" state="frozen"/>
      <selection pane="bottomRight" activeCell="L20" sqref="L20"/>
      <pageMargins left="0.7" right="0.7" top="0.75" bottom="0.75" header="0.3" footer="0.3"/>
      <pageSetup paperSize="9" orientation="portrait" r:id="rId13"/>
    </customSheetView>
    <customSheetView guid="{562453CE-35F5-40A3-AD14-6399D1197C99}" scale="80" hiddenRows="1">
      <pane xSplit="6" ySplit="7" topLeftCell="G10" activePane="bottomRight" state="frozen"/>
      <selection pane="bottomRight" activeCell="L20" sqref="L20"/>
      <pageMargins left="0.7" right="0.7" top="0.75" bottom="0.75" header="0.3" footer="0.3"/>
      <pageSetup paperSize="9" orientation="portrait" r:id="rId14"/>
    </customSheetView>
    <customSheetView guid="{B6B60ED6-A6CC-4DA7-A8CA-5E6DB52D5A87}" scale="80" hiddenRows="1">
      <pane xSplit="6" ySplit="7" topLeftCell="G10" activePane="bottomRight" state="frozen"/>
      <selection pane="bottomRight" activeCell="L20" sqref="L20"/>
      <pageMargins left="0.7" right="0.7" top="0.75" bottom="0.75" header="0.3" footer="0.3"/>
      <pageSetup paperSize="9" orientation="portrait" r:id="rId15"/>
    </customSheetView>
    <customSheetView guid="{133BB3F8-8DD4-4AEF-8CD6-A5FB14681329}" scale="80" hiddenRows="1">
      <pane xSplit="6" ySplit="7" topLeftCell="G10" activePane="bottomRight" state="frozen"/>
      <selection pane="bottomRight" activeCell="L20" sqref="L20"/>
      <pageMargins left="0.7" right="0.7" top="0.75" bottom="0.75" header="0.3" footer="0.3"/>
      <pageSetup paperSize="9" orientation="portrait" r:id="rId16"/>
    </customSheetView>
    <customSheetView guid="{5DF2C78B-5EE4-439D-8D72-8D3A913B65F9}" scale="80" hiddenRows="1">
      <pane xSplit="6" ySplit="7" topLeftCell="G10" activePane="bottomRight" state="frozen"/>
      <selection pane="bottomRight" activeCell="L20" sqref="L20"/>
      <pageMargins left="0.7" right="0.7" top="0.75" bottom="0.75" header="0.3" footer="0.3"/>
      <pageSetup paperSize="9" orientation="portrait" r:id="rId17"/>
    </customSheetView>
    <customSheetView guid="{60A1F930-4BEC-460A-8E14-01E47F6DD055}" scale="80" hiddenRows="1">
      <pane xSplit="6" ySplit="7" topLeftCell="G10" activePane="bottomRight" state="frozen"/>
      <selection pane="bottomRight" activeCell="L20" sqref="L20"/>
      <pageMargins left="0.7" right="0.7" top="0.75" bottom="0.75" header="0.3" footer="0.3"/>
      <pageSetup paperSize="9" orientation="portrait" r:id="rId18"/>
    </customSheetView>
    <customSheetView guid="{7C5A2A36-3D69-43D9-9018-A52C27EC78F9}" scale="80" hiddenRows="1">
      <pane xSplit="6" ySplit="7" topLeftCell="G10" activePane="bottomRight" state="frozen"/>
      <selection pane="bottomRight" activeCell="L20" sqref="L20"/>
      <pageMargins left="0.7" right="0.7" top="0.75" bottom="0.75" header="0.3" footer="0.3"/>
      <pageSetup paperSize="9" orientation="portrait" r:id="rId19"/>
    </customSheetView>
    <customSheetView guid="{C282AA4E-1BB5-4296-9AC6-844C0F88E5FC}" scale="80" hiddenRows="1">
      <pane xSplit="6" ySplit="7" topLeftCell="G10" activePane="bottomRight" state="frozen"/>
      <selection pane="bottomRight" activeCell="L20" sqref="L20"/>
      <pageMargins left="0.7" right="0.7" top="0.75" bottom="0.75" header="0.3" footer="0.3"/>
      <pageSetup paperSize="9" orientation="portrait" r:id="rId20"/>
    </customSheetView>
    <customSheetView guid="{996EC2F0-F6EC-4E63-A83E-34865157BD8D}" scale="80" hiddenRows="1">
      <pane xSplit="6" ySplit="7" topLeftCell="G10" activePane="bottomRight" state="frozen"/>
      <selection pane="bottomRight" activeCell="L20" sqref="L20"/>
      <pageMargins left="0.7" right="0.7" top="0.75" bottom="0.75" header="0.3" footer="0.3"/>
      <pageSetup paperSize="9" orientation="portrait" r:id="rId21"/>
    </customSheetView>
    <customSheetView guid="{AFADB96A-0516-43C1-9F1B-0604F3CAC04A}" scale="80" hiddenRows="1">
      <pane xSplit="6" ySplit="7" topLeftCell="G10" activePane="bottomRight" state="frozen"/>
      <selection pane="bottomRight" activeCell="L20" sqref="L20"/>
      <pageMargins left="0.7" right="0.7" top="0.75" bottom="0.75" header="0.3" footer="0.3"/>
      <pageSetup paperSize="9" orientation="portrait" r:id="rId22"/>
    </customSheetView>
  </customSheetViews>
  <mergeCells count="46">
    <mergeCell ref="R4:S5"/>
    <mergeCell ref="T4:U5"/>
    <mergeCell ref="C2:S2"/>
    <mergeCell ref="C3:S3"/>
    <mergeCell ref="A4:A6"/>
    <mergeCell ref="B4:B6"/>
    <mergeCell ref="C4:C6"/>
    <mergeCell ref="D4:D5"/>
    <mergeCell ref="E4:E5"/>
    <mergeCell ref="F4:F5"/>
    <mergeCell ref="G4:G5"/>
    <mergeCell ref="H4:I5"/>
    <mergeCell ref="AH4:AH6"/>
    <mergeCell ref="A8:A11"/>
    <mergeCell ref="B8:B11"/>
    <mergeCell ref="B12:AG12"/>
    <mergeCell ref="A13:A16"/>
    <mergeCell ref="B13:B16"/>
    <mergeCell ref="V4:W5"/>
    <mergeCell ref="X4:Y5"/>
    <mergeCell ref="Z4:AA5"/>
    <mergeCell ref="AB4:AC5"/>
    <mergeCell ref="AD4:AE5"/>
    <mergeCell ref="AF4:AG5"/>
    <mergeCell ref="J4:K5"/>
    <mergeCell ref="L4:M5"/>
    <mergeCell ref="N4:O5"/>
    <mergeCell ref="P4:Q5"/>
    <mergeCell ref="B17:AG17"/>
    <mergeCell ref="A26:A28"/>
    <mergeCell ref="B26:B28"/>
    <mergeCell ref="A29:A31"/>
    <mergeCell ref="B29:B31"/>
    <mergeCell ref="A18:A21"/>
    <mergeCell ref="B18:B21"/>
    <mergeCell ref="A22:A25"/>
    <mergeCell ref="B22:B25"/>
    <mergeCell ref="A32:A34"/>
    <mergeCell ref="B32:B34"/>
    <mergeCell ref="B41:AG41"/>
    <mergeCell ref="A42:A44"/>
    <mergeCell ref="B42:B44"/>
    <mergeCell ref="A35:A37"/>
    <mergeCell ref="B35:B37"/>
    <mergeCell ref="A38:A40"/>
    <mergeCell ref="B38:B40"/>
  </mergeCells>
  <pageMargins left="0.7" right="0.7" top="0.75" bottom="0.75" header="0.3" footer="0.3"/>
  <pageSetup paperSize="9" orientation="portrait" r:id="rId23"/>
  <legacyDrawing r:id="rId2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14"/>
  <sheetViews>
    <sheetView zoomScale="80" zoomScaleNormal="80" workbookViewId="0">
      <pane xSplit="6" ySplit="7" topLeftCell="G8" activePane="bottomRight" state="frozen"/>
      <selection pane="topRight" activeCell="G1" sqref="G1"/>
      <selection pane="bottomLeft" activeCell="A8" sqref="A8"/>
      <selection pane="bottomRight" activeCell="D24" sqref="D24"/>
    </sheetView>
  </sheetViews>
  <sheetFormatPr defaultColWidth="9.140625" defaultRowHeight="15.75" x14ac:dyDescent="0.25"/>
  <cols>
    <col min="1" max="1" width="6.5703125" style="53" customWidth="1"/>
    <col min="2" max="2" width="40.5703125" style="53" customWidth="1"/>
    <col min="3" max="3" width="18.5703125" style="54" customWidth="1"/>
    <col min="4" max="4" width="18" style="53" customWidth="1"/>
    <col min="5" max="5" width="14.7109375" style="53" customWidth="1"/>
    <col min="6" max="6" width="17.140625" style="53" customWidth="1"/>
    <col min="7" max="7" width="17.85546875" style="53" customWidth="1"/>
    <col min="8" max="8" width="12.140625" style="53" customWidth="1"/>
    <col min="9" max="9" width="10.85546875" style="53" customWidth="1"/>
    <col min="10" max="10" width="12.7109375" style="53" customWidth="1"/>
    <col min="11" max="11" width="13.5703125" style="53" customWidth="1"/>
    <col min="12" max="12" width="12.42578125" style="53" customWidth="1"/>
    <col min="13" max="13" width="13" style="53" customWidth="1"/>
    <col min="14" max="33" width="11.5703125" style="53" customWidth="1"/>
    <col min="34" max="34" width="38.5703125" style="53" customWidth="1"/>
    <col min="35" max="16384" width="9.140625" style="53"/>
  </cols>
  <sheetData>
    <row r="1" spans="1:35" ht="8.25" customHeight="1" x14ac:dyDescent="0.25">
      <c r="C1" s="1"/>
      <c r="D1" s="2"/>
      <c r="E1" s="2"/>
      <c r="F1" s="2"/>
      <c r="G1" s="2"/>
      <c r="H1" s="2"/>
      <c r="I1" s="2"/>
      <c r="J1" s="3"/>
      <c r="K1" s="3"/>
      <c r="L1" s="3"/>
      <c r="M1" s="3"/>
      <c r="N1" s="3"/>
      <c r="O1" s="3"/>
      <c r="P1" s="3"/>
      <c r="Q1" s="3"/>
      <c r="R1" s="3"/>
      <c r="S1" s="3"/>
      <c r="T1" s="3"/>
      <c r="U1" s="3"/>
      <c r="V1" s="5"/>
      <c r="W1" s="5"/>
      <c r="X1" s="5"/>
      <c r="Y1" s="5"/>
      <c r="Z1" s="5"/>
      <c r="AA1" s="5"/>
      <c r="AB1" s="5"/>
      <c r="AC1" s="5"/>
      <c r="AD1" s="96"/>
      <c r="AE1" s="96"/>
      <c r="AF1" s="96"/>
      <c r="AG1" s="3"/>
      <c r="AH1" s="3"/>
    </row>
    <row r="2" spans="1:35" x14ac:dyDescent="0.25">
      <c r="C2" s="346" t="s">
        <v>24</v>
      </c>
      <c r="D2" s="346"/>
      <c r="E2" s="346"/>
      <c r="F2" s="346"/>
      <c r="G2" s="346"/>
      <c r="H2" s="346"/>
      <c r="I2" s="346"/>
      <c r="J2" s="346"/>
      <c r="K2" s="346"/>
      <c r="L2" s="346"/>
      <c r="M2" s="346"/>
      <c r="N2" s="346"/>
      <c r="O2" s="346"/>
      <c r="P2" s="346"/>
      <c r="Q2" s="346"/>
      <c r="R2" s="346"/>
      <c r="S2" s="346"/>
      <c r="T2" s="93"/>
      <c r="U2" s="93"/>
      <c r="V2" s="93"/>
      <c r="W2" s="93"/>
      <c r="X2" s="93"/>
      <c r="Y2" s="93"/>
      <c r="Z2" s="93"/>
      <c r="AA2" s="93"/>
      <c r="AB2" s="93"/>
      <c r="AC2" s="93"/>
      <c r="AD2" s="93"/>
      <c r="AE2" s="93"/>
      <c r="AF2" s="93"/>
      <c r="AG2" s="93"/>
      <c r="AH2" s="93"/>
    </row>
    <row r="3" spans="1:35" ht="36.75" customHeight="1" x14ac:dyDescent="0.25">
      <c r="C3" s="346" t="s">
        <v>168</v>
      </c>
      <c r="D3" s="346"/>
      <c r="E3" s="346"/>
      <c r="F3" s="346"/>
      <c r="G3" s="346"/>
      <c r="H3" s="346"/>
      <c r="I3" s="346"/>
      <c r="J3" s="346"/>
      <c r="K3" s="346"/>
      <c r="L3" s="346"/>
      <c r="M3" s="346"/>
      <c r="N3" s="346"/>
      <c r="O3" s="346"/>
      <c r="P3" s="346"/>
      <c r="Q3" s="346"/>
      <c r="R3" s="346"/>
      <c r="S3" s="346"/>
      <c r="T3" s="94"/>
      <c r="U3" s="94"/>
      <c r="V3" s="94"/>
      <c r="W3" s="94"/>
      <c r="X3" s="94"/>
      <c r="Y3" s="94"/>
      <c r="Z3" s="94"/>
      <c r="AA3" s="94"/>
      <c r="AB3" s="94"/>
      <c r="AC3" s="94"/>
      <c r="AD3" s="95"/>
      <c r="AE3" s="95"/>
      <c r="AF3" s="95"/>
      <c r="AG3" s="37" t="s">
        <v>0</v>
      </c>
      <c r="AH3" s="95"/>
    </row>
    <row r="4" spans="1:35" s="33" customFormat="1" ht="15" customHeight="1" x14ac:dyDescent="0.25">
      <c r="A4" s="348" t="s">
        <v>26</v>
      </c>
      <c r="B4" s="351" t="s">
        <v>29</v>
      </c>
      <c r="C4" s="351" t="s">
        <v>30</v>
      </c>
      <c r="D4" s="359" t="s">
        <v>1</v>
      </c>
      <c r="E4" s="359" t="s">
        <v>1</v>
      </c>
      <c r="F4" s="359" t="s">
        <v>2</v>
      </c>
      <c r="G4" s="359" t="s">
        <v>3</v>
      </c>
      <c r="H4" s="342" t="s">
        <v>4</v>
      </c>
      <c r="I4" s="343"/>
      <c r="J4" s="488" t="s">
        <v>5</v>
      </c>
      <c r="K4" s="489"/>
      <c r="L4" s="488" t="s">
        <v>6</v>
      </c>
      <c r="M4" s="489"/>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33" customFormat="1" ht="39" customHeight="1" x14ac:dyDescent="0.25">
      <c r="A5" s="349"/>
      <c r="B5" s="352"/>
      <c r="C5" s="352"/>
      <c r="D5" s="360"/>
      <c r="E5" s="360"/>
      <c r="F5" s="360"/>
      <c r="G5" s="360"/>
      <c r="H5" s="344"/>
      <c r="I5" s="345"/>
      <c r="J5" s="490"/>
      <c r="K5" s="491"/>
      <c r="L5" s="490"/>
      <c r="M5" s="491"/>
      <c r="N5" s="344"/>
      <c r="O5" s="345"/>
      <c r="P5" s="344"/>
      <c r="Q5" s="345"/>
      <c r="R5" s="344"/>
      <c r="S5" s="345"/>
      <c r="T5" s="344"/>
      <c r="U5" s="345"/>
      <c r="V5" s="344"/>
      <c r="W5" s="345"/>
      <c r="X5" s="344"/>
      <c r="Y5" s="345"/>
      <c r="Z5" s="344"/>
      <c r="AA5" s="345"/>
      <c r="AB5" s="344"/>
      <c r="AC5" s="345"/>
      <c r="AD5" s="344"/>
      <c r="AE5" s="345"/>
      <c r="AF5" s="344"/>
      <c r="AG5" s="345"/>
      <c r="AH5" s="362"/>
    </row>
    <row r="6" spans="1:35" s="33" customFormat="1" ht="64.5" customHeight="1" x14ac:dyDescent="0.25">
      <c r="A6" s="350"/>
      <c r="B6" s="353"/>
      <c r="C6" s="353"/>
      <c r="D6" s="38">
        <v>2025</v>
      </c>
      <c r="E6" s="39">
        <v>45778</v>
      </c>
      <c r="F6" s="39">
        <v>45778</v>
      </c>
      <c r="G6" s="39">
        <v>45778</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33" customFormat="1" x14ac:dyDescent="0.25">
      <c r="A7" s="56">
        <v>1</v>
      </c>
      <c r="B7" s="56">
        <v>2</v>
      </c>
      <c r="C7" s="56">
        <v>3</v>
      </c>
      <c r="D7" s="56">
        <v>4</v>
      </c>
      <c r="E7" s="56">
        <v>5</v>
      </c>
      <c r="F7" s="56">
        <v>6</v>
      </c>
      <c r="G7" s="56">
        <v>7</v>
      </c>
      <c r="H7" s="56">
        <v>8</v>
      </c>
      <c r="I7" s="56">
        <v>9</v>
      </c>
      <c r="J7" s="56">
        <v>10</v>
      </c>
      <c r="K7" s="56">
        <v>11</v>
      </c>
      <c r="L7" s="56">
        <v>12</v>
      </c>
      <c r="M7" s="56">
        <v>13</v>
      </c>
      <c r="N7" s="56">
        <v>14</v>
      </c>
      <c r="O7" s="56">
        <v>15</v>
      </c>
      <c r="P7" s="56">
        <v>16</v>
      </c>
      <c r="Q7" s="56">
        <v>17</v>
      </c>
      <c r="R7" s="56">
        <v>18</v>
      </c>
      <c r="S7" s="56">
        <v>19</v>
      </c>
      <c r="T7" s="56">
        <v>20</v>
      </c>
      <c r="U7" s="56">
        <v>21</v>
      </c>
      <c r="V7" s="56">
        <v>22</v>
      </c>
      <c r="W7" s="56">
        <v>23</v>
      </c>
      <c r="X7" s="56">
        <v>24</v>
      </c>
      <c r="Y7" s="56">
        <v>25</v>
      </c>
      <c r="Z7" s="56">
        <v>26</v>
      </c>
      <c r="AA7" s="56">
        <v>27</v>
      </c>
      <c r="AB7" s="56">
        <v>28</v>
      </c>
      <c r="AC7" s="56">
        <v>29</v>
      </c>
      <c r="AD7" s="56">
        <v>30</v>
      </c>
      <c r="AE7" s="56">
        <v>31</v>
      </c>
      <c r="AF7" s="56">
        <v>32</v>
      </c>
      <c r="AG7" s="56">
        <v>33</v>
      </c>
      <c r="AH7" s="56">
        <v>34</v>
      </c>
    </row>
    <row r="8" spans="1:35" s="100" customFormat="1" ht="31.5" customHeight="1" x14ac:dyDescent="0.25">
      <c r="A8" s="441"/>
      <c r="B8" s="361" t="s">
        <v>23</v>
      </c>
      <c r="C8" s="97" t="s">
        <v>20</v>
      </c>
      <c r="D8" s="98">
        <f>SUM(D9:D9)</f>
        <v>55932.300999999985</v>
      </c>
      <c r="E8" s="98">
        <f>SUM(E9:E9)</f>
        <v>19016.071</v>
      </c>
      <c r="F8" s="98">
        <f>SUM(F9:F9)</f>
        <v>17988.760000000002</v>
      </c>
      <c r="G8" s="98">
        <f>SUM(G9:G9)</f>
        <v>17988.760000000002</v>
      </c>
      <c r="H8" s="98">
        <f>IFERROR(G8/D8*100,0)</f>
        <v>32.161666297261768</v>
      </c>
      <c r="I8" s="98">
        <f>IFERROR(G8/E8*100,0)</f>
        <v>94.597669518587736</v>
      </c>
      <c r="J8" s="99">
        <f t="shared" ref="J8:AG8" si="0">SUM(J9:J9)</f>
        <v>7097.3509999999997</v>
      </c>
      <c r="K8" s="99">
        <f t="shared" si="0"/>
        <v>4289.4799999999996</v>
      </c>
      <c r="L8" s="99">
        <f t="shared" si="0"/>
        <v>3533.8</v>
      </c>
      <c r="M8" s="99">
        <f t="shared" si="0"/>
        <v>5094.54</v>
      </c>
      <c r="N8" s="99">
        <f t="shared" si="0"/>
        <v>3048.6</v>
      </c>
      <c r="O8" s="99">
        <f t="shared" si="0"/>
        <v>3732.34</v>
      </c>
      <c r="P8" s="99">
        <f t="shared" si="0"/>
        <v>5336.32</v>
      </c>
      <c r="Q8" s="99">
        <f t="shared" si="0"/>
        <v>4872.3999999999996</v>
      </c>
      <c r="R8" s="99">
        <f t="shared" si="0"/>
        <v>4927.8999999999996</v>
      </c>
      <c r="S8" s="99">
        <f t="shared" si="0"/>
        <v>0</v>
      </c>
      <c r="T8" s="99">
        <f t="shared" si="0"/>
        <v>4673.3</v>
      </c>
      <c r="U8" s="99">
        <f t="shared" si="0"/>
        <v>0</v>
      </c>
      <c r="V8" s="99">
        <f t="shared" si="0"/>
        <v>5445</v>
      </c>
      <c r="W8" s="99">
        <f t="shared" si="0"/>
        <v>0</v>
      </c>
      <c r="X8" s="99">
        <f t="shared" si="0"/>
        <v>4725.1000000000004</v>
      </c>
      <c r="Y8" s="99">
        <f t="shared" si="0"/>
        <v>0</v>
      </c>
      <c r="Z8" s="99">
        <f t="shared" si="0"/>
        <v>3476</v>
      </c>
      <c r="AA8" s="99">
        <f t="shared" si="0"/>
        <v>0</v>
      </c>
      <c r="AB8" s="99">
        <f t="shared" si="0"/>
        <v>3645.6</v>
      </c>
      <c r="AC8" s="99">
        <f t="shared" si="0"/>
        <v>0</v>
      </c>
      <c r="AD8" s="99">
        <f t="shared" si="0"/>
        <v>3710.7</v>
      </c>
      <c r="AE8" s="99">
        <f t="shared" si="0"/>
        <v>0</v>
      </c>
      <c r="AF8" s="99">
        <f t="shared" si="0"/>
        <v>6312.63</v>
      </c>
      <c r="AG8" s="99">
        <f t="shared" si="0"/>
        <v>0</v>
      </c>
      <c r="AH8" s="60"/>
    </row>
    <row r="9" spans="1:35" s="33" customFormat="1" ht="38.25" customHeight="1" x14ac:dyDescent="0.25">
      <c r="A9" s="443"/>
      <c r="B9" s="363"/>
      <c r="C9" s="101" t="s">
        <v>21</v>
      </c>
      <c r="D9" s="102">
        <f>D12</f>
        <v>55932.300999999985</v>
      </c>
      <c r="E9" s="102">
        <f>E12</f>
        <v>19016.071</v>
      </c>
      <c r="F9" s="102">
        <f>F12</f>
        <v>17988.760000000002</v>
      </c>
      <c r="G9" s="102">
        <f>G12</f>
        <v>17988.760000000002</v>
      </c>
      <c r="H9" s="102">
        <f>IFERROR(G9/D9*100,0)</f>
        <v>32.161666297261768</v>
      </c>
      <c r="I9" s="102">
        <f>IFERROR(G9/E9*100,0)</f>
        <v>94.597669518587736</v>
      </c>
      <c r="J9" s="103">
        <f>J12</f>
        <v>7097.3509999999997</v>
      </c>
      <c r="K9" s="103">
        <f t="shared" ref="K9:AG9" si="1">K12</f>
        <v>4289.4799999999996</v>
      </c>
      <c r="L9" s="103">
        <f t="shared" si="1"/>
        <v>3533.8</v>
      </c>
      <c r="M9" s="103">
        <f t="shared" si="1"/>
        <v>5094.54</v>
      </c>
      <c r="N9" s="103">
        <f t="shared" si="1"/>
        <v>3048.6</v>
      </c>
      <c r="O9" s="103">
        <f t="shared" si="1"/>
        <v>3732.34</v>
      </c>
      <c r="P9" s="103">
        <f t="shared" si="1"/>
        <v>5336.32</v>
      </c>
      <c r="Q9" s="103">
        <f t="shared" si="1"/>
        <v>4872.3999999999996</v>
      </c>
      <c r="R9" s="103">
        <f t="shared" si="1"/>
        <v>4927.8999999999996</v>
      </c>
      <c r="S9" s="103">
        <f t="shared" si="1"/>
        <v>0</v>
      </c>
      <c r="T9" s="103">
        <f t="shared" si="1"/>
        <v>4673.3</v>
      </c>
      <c r="U9" s="103">
        <f t="shared" si="1"/>
        <v>0</v>
      </c>
      <c r="V9" s="103">
        <f t="shared" si="1"/>
        <v>5445</v>
      </c>
      <c r="W9" s="103">
        <f t="shared" si="1"/>
        <v>0</v>
      </c>
      <c r="X9" s="103">
        <f t="shared" si="1"/>
        <v>4725.1000000000004</v>
      </c>
      <c r="Y9" s="103">
        <f t="shared" si="1"/>
        <v>0</v>
      </c>
      <c r="Z9" s="103">
        <f t="shared" si="1"/>
        <v>3476</v>
      </c>
      <c r="AA9" s="103">
        <f t="shared" si="1"/>
        <v>0</v>
      </c>
      <c r="AB9" s="103">
        <f t="shared" si="1"/>
        <v>3645.6</v>
      </c>
      <c r="AC9" s="103">
        <f t="shared" si="1"/>
        <v>0</v>
      </c>
      <c r="AD9" s="103">
        <f t="shared" si="1"/>
        <v>3710.7</v>
      </c>
      <c r="AE9" s="103">
        <f t="shared" si="1"/>
        <v>0</v>
      </c>
      <c r="AF9" s="103">
        <f t="shared" si="1"/>
        <v>6312.63</v>
      </c>
      <c r="AG9" s="103">
        <f t="shared" si="1"/>
        <v>0</v>
      </c>
      <c r="AH9" s="64"/>
    </row>
    <row r="10" spans="1:35" s="33" customFormat="1" ht="21" customHeight="1" x14ac:dyDescent="0.25">
      <c r="A10" s="107"/>
      <c r="B10" s="370" t="s">
        <v>169</v>
      </c>
      <c r="C10" s="371"/>
      <c r="D10" s="371"/>
      <c r="E10" s="371"/>
      <c r="F10" s="371"/>
      <c r="G10" s="371"/>
      <c r="H10" s="371"/>
      <c r="I10" s="371"/>
      <c r="J10" s="371"/>
      <c r="K10" s="371"/>
      <c r="L10" s="371"/>
      <c r="M10" s="371"/>
      <c r="N10" s="371"/>
      <c r="O10" s="371"/>
      <c r="P10" s="371"/>
      <c r="Q10" s="371"/>
      <c r="R10" s="371"/>
      <c r="S10" s="371"/>
      <c r="T10" s="371"/>
      <c r="U10" s="371"/>
      <c r="V10" s="371"/>
      <c r="W10" s="371"/>
      <c r="X10" s="371"/>
      <c r="Y10" s="371"/>
      <c r="Z10" s="371"/>
      <c r="AA10" s="371"/>
      <c r="AB10" s="371"/>
      <c r="AC10" s="371"/>
      <c r="AD10" s="371"/>
      <c r="AE10" s="371"/>
      <c r="AF10" s="371"/>
      <c r="AG10" s="372"/>
      <c r="AH10" s="64"/>
      <c r="AI10" s="106"/>
    </row>
    <row r="11" spans="1:35" s="100" customFormat="1" ht="43.5" customHeight="1" x14ac:dyDescent="0.25">
      <c r="A11" s="373" t="s">
        <v>170</v>
      </c>
      <c r="B11" s="351" t="s">
        <v>171</v>
      </c>
      <c r="C11" s="97" t="s">
        <v>20</v>
      </c>
      <c r="D11" s="98">
        <f>SUM(D12:D12)</f>
        <v>55932.300999999985</v>
      </c>
      <c r="E11" s="98">
        <f>SUM(E12:E12)</f>
        <v>19016.071</v>
      </c>
      <c r="F11" s="98">
        <f>SUM(F12:F12)</f>
        <v>17988.760000000002</v>
      </c>
      <c r="G11" s="98">
        <f>SUM(G12:G12)</f>
        <v>17988.760000000002</v>
      </c>
      <c r="H11" s="98">
        <f>IFERROR(G11/D11*100,0)</f>
        <v>32.161666297261768</v>
      </c>
      <c r="I11" s="98">
        <f>IFERROR(G11/E11*100,0)</f>
        <v>94.597669518587736</v>
      </c>
      <c r="J11" s="99">
        <f t="shared" ref="J11:AG11" si="2">SUM(J12:J12)</f>
        <v>7097.3509999999997</v>
      </c>
      <c r="K11" s="99">
        <f t="shared" si="2"/>
        <v>4289.4799999999996</v>
      </c>
      <c r="L11" s="99">
        <f t="shared" si="2"/>
        <v>3533.8</v>
      </c>
      <c r="M11" s="99">
        <f t="shared" si="2"/>
        <v>5094.54</v>
      </c>
      <c r="N11" s="99">
        <f t="shared" si="2"/>
        <v>3048.6</v>
      </c>
      <c r="O11" s="99">
        <f t="shared" si="2"/>
        <v>3732.34</v>
      </c>
      <c r="P11" s="99">
        <f t="shared" si="2"/>
        <v>5336.32</v>
      </c>
      <c r="Q11" s="99">
        <f t="shared" si="2"/>
        <v>4872.3999999999996</v>
      </c>
      <c r="R11" s="99">
        <f t="shared" si="2"/>
        <v>4927.8999999999996</v>
      </c>
      <c r="S11" s="99">
        <f t="shared" si="2"/>
        <v>0</v>
      </c>
      <c r="T11" s="99">
        <f t="shared" si="2"/>
        <v>4673.3</v>
      </c>
      <c r="U11" s="99">
        <f t="shared" si="2"/>
        <v>0</v>
      </c>
      <c r="V11" s="99">
        <f t="shared" si="2"/>
        <v>5445</v>
      </c>
      <c r="W11" s="99">
        <f t="shared" si="2"/>
        <v>0</v>
      </c>
      <c r="X11" s="99">
        <f t="shared" si="2"/>
        <v>4725.1000000000004</v>
      </c>
      <c r="Y11" s="99">
        <f t="shared" si="2"/>
        <v>0</v>
      </c>
      <c r="Z11" s="99">
        <f t="shared" si="2"/>
        <v>3476</v>
      </c>
      <c r="AA11" s="99">
        <f t="shared" si="2"/>
        <v>0</v>
      </c>
      <c r="AB11" s="99">
        <f t="shared" si="2"/>
        <v>3645.6</v>
      </c>
      <c r="AC11" s="99">
        <f t="shared" si="2"/>
        <v>0</v>
      </c>
      <c r="AD11" s="99">
        <f t="shared" si="2"/>
        <v>3710.7</v>
      </c>
      <c r="AE11" s="99">
        <f t="shared" si="2"/>
        <v>0</v>
      </c>
      <c r="AF11" s="99">
        <f t="shared" si="2"/>
        <v>6312.63</v>
      </c>
      <c r="AG11" s="99">
        <f t="shared" si="2"/>
        <v>0</v>
      </c>
      <c r="AH11" s="60"/>
      <c r="AI11" s="106"/>
    </row>
    <row r="12" spans="1:35" s="33" customFormat="1" ht="48" customHeight="1" x14ac:dyDescent="0.25">
      <c r="A12" s="375"/>
      <c r="B12" s="353"/>
      <c r="C12" s="101" t="s">
        <v>21</v>
      </c>
      <c r="D12" s="102">
        <f>SUM(J12,L12,N12,P12,R12,T12,V12,X12,Z12,AB12,AD12,AF12)</f>
        <v>55932.300999999985</v>
      </c>
      <c r="E12" s="102">
        <f>J12+L12+N12+P12</f>
        <v>19016.071</v>
      </c>
      <c r="F12" s="102">
        <f>G12</f>
        <v>17988.760000000002</v>
      </c>
      <c r="G12" s="102">
        <f>SUM(K12,M12,O12,Q12,S12,U12,W12,Y12,AA12,AC12,AE12,AG12)</f>
        <v>17988.760000000002</v>
      </c>
      <c r="H12" s="102">
        <f>IFERROR(G12/D12*100,0)</f>
        <v>32.161666297261768</v>
      </c>
      <c r="I12" s="102">
        <f>IFERROR(G12/E12*100,0)</f>
        <v>94.597669518587736</v>
      </c>
      <c r="J12" s="185">
        <f t="shared" ref="J12:AF12" si="3">J14</f>
        <v>7097.3509999999997</v>
      </c>
      <c r="K12" s="185">
        <f t="shared" si="3"/>
        <v>4289.4799999999996</v>
      </c>
      <c r="L12" s="185">
        <f t="shared" si="3"/>
        <v>3533.8</v>
      </c>
      <c r="M12" s="103">
        <f t="shared" si="3"/>
        <v>5094.54</v>
      </c>
      <c r="N12" s="103">
        <f t="shared" si="3"/>
        <v>3048.6</v>
      </c>
      <c r="O12" s="103">
        <f t="shared" si="3"/>
        <v>3732.34</v>
      </c>
      <c r="P12" s="103">
        <f t="shared" si="3"/>
        <v>5336.32</v>
      </c>
      <c r="Q12" s="103">
        <f t="shared" si="3"/>
        <v>4872.3999999999996</v>
      </c>
      <c r="R12" s="103">
        <f t="shared" si="3"/>
        <v>4927.8999999999996</v>
      </c>
      <c r="S12" s="103">
        <f t="shared" si="3"/>
        <v>0</v>
      </c>
      <c r="T12" s="103">
        <f t="shared" si="3"/>
        <v>4673.3</v>
      </c>
      <c r="U12" s="103">
        <f t="shared" si="3"/>
        <v>0</v>
      </c>
      <c r="V12" s="103">
        <f t="shared" si="3"/>
        <v>5445</v>
      </c>
      <c r="W12" s="103">
        <f t="shared" si="3"/>
        <v>0</v>
      </c>
      <c r="X12" s="103">
        <f t="shared" si="3"/>
        <v>4725.1000000000004</v>
      </c>
      <c r="Y12" s="103">
        <f t="shared" si="3"/>
        <v>0</v>
      </c>
      <c r="Z12" s="103">
        <f t="shared" si="3"/>
        <v>3476</v>
      </c>
      <c r="AA12" s="103">
        <f t="shared" si="3"/>
        <v>0</v>
      </c>
      <c r="AB12" s="103">
        <f t="shared" si="3"/>
        <v>3645.6</v>
      </c>
      <c r="AC12" s="103">
        <f t="shared" si="3"/>
        <v>0</v>
      </c>
      <c r="AD12" s="103">
        <f t="shared" si="3"/>
        <v>3710.7</v>
      </c>
      <c r="AE12" s="103">
        <f t="shared" si="3"/>
        <v>0</v>
      </c>
      <c r="AF12" s="103">
        <f t="shared" si="3"/>
        <v>6312.63</v>
      </c>
      <c r="AG12" s="103">
        <f>AG14</f>
        <v>0</v>
      </c>
      <c r="AH12" s="64"/>
      <c r="AI12" s="106"/>
    </row>
    <row r="13" spans="1:35" s="100" customFormat="1" ht="34.5" customHeight="1" x14ac:dyDescent="0.25">
      <c r="A13" s="441"/>
      <c r="B13" s="473" t="s">
        <v>172</v>
      </c>
      <c r="C13" s="108" t="s">
        <v>20</v>
      </c>
      <c r="D13" s="109">
        <f>D14</f>
        <v>55932.300999999985</v>
      </c>
      <c r="E13" s="109">
        <f>E14</f>
        <v>19016.071</v>
      </c>
      <c r="F13" s="109">
        <f>F14</f>
        <v>17988.760000000002</v>
      </c>
      <c r="G13" s="109">
        <f>G14</f>
        <v>17988.760000000002</v>
      </c>
      <c r="H13" s="109">
        <f>IFERROR(G13/D13*100,0)</f>
        <v>32.161666297261768</v>
      </c>
      <c r="I13" s="109">
        <f>IFERROR(G13/E13*100,0)</f>
        <v>94.597669518587736</v>
      </c>
      <c r="J13" s="110">
        <f>J14</f>
        <v>7097.3509999999997</v>
      </c>
      <c r="K13" s="110">
        <f t="shared" ref="K13:AG13" si="4">K14</f>
        <v>4289.4799999999996</v>
      </c>
      <c r="L13" s="110">
        <f t="shared" si="4"/>
        <v>3533.8</v>
      </c>
      <c r="M13" s="110">
        <f t="shared" si="4"/>
        <v>5094.54</v>
      </c>
      <c r="N13" s="110">
        <f t="shared" si="4"/>
        <v>3048.6</v>
      </c>
      <c r="O13" s="110">
        <f t="shared" si="4"/>
        <v>3732.34</v>
      </c>
      <c r="P13" s="110">
        <f t="shared" si="4"/>
        <v>5336.32</v>
      </c>
      <c r="Q13" s="110">
        <f t="shared" si="4"/>
        <v>4872.3999999999996</v>
      </c>
      <c r="R13" s="110">
        <f t="shared" si="4"/>
        <v>4927.8999999999996</v>
      </c>
      <c r="S13" s="110">
        <f t="shared" si="4"/>
        <v>0</v>
      </c>
      <c r="T13" s="110">
        <f t="shared" si="4"/>
        <v>4673.3</v>
      </c>
      <c r="U13" s="110">
        <f t="shared" si="4"/>
        <v>0</v>
      </c>
      <c r="V13" s="110">
        <f t="shared" si="4"/>
        <v>5445</v>
      </c>
      <c r="W13" s="110">
        <f t="shared" si="4"/>
        <v>0</v>
      </c>
      <c r="X13" s="110">
        <f t="shared" si="4"/>
        <v>4725.1000000000004</v>
      </c>
      <c r="Y13" s="110">
        <f t="shared" si="4"/>
        <v>0</v>
      </c>
      <c r="Z13" s="110">
        <f t="shared" si="4"/>
        <v>3476</v>
      </c>
      <c r="AA13" s="110">
        <f t="shared" si="4"/>
        <v>0</v>
      </c>
      <c r="AB13" s="110">
        <f t="shared" si="4"/>
        <v>3645.6</v>
      </c>
      <c r="AC13" s="110">
        <f t="shared" si="4"/>
        <v>0</v>
      </c>
      <c r="AD13" s="110">
        <f t="shared" si="4"/>
        <v>3710.7</v>
      </c>
      <c r="AE13" s="110">
        <f t="shared" si="4"/>
        <v>0</v>
      </c>
      <c r="AF13" s="110">
        <f t="shared" si="4"/>
        <v>6312.63</v>
      </c>
      <c r="AG13" s="110">
        <f t="shared" si="4"/>
        <v>0</v>
      </c>
      <c r="AH13" s="111"/>
      <c r="AI13" s="106"/>
    </row>
    <row r="14" spans="1:35" s="33" customFormat="1" ht="43.5" customHeight="1" x14ac:dyDescent="0.25">
      <c r="A14" s="443"/>
      <c r="B14" s="474"/>
      <c r="C14" s="112" t="s">
        <v>21</v>
      </c>
      <c r="D14" s="184">
        <f>SUM(J14,L14,N14,P14,R14,T14,V14,X14,Z14,AB14,AD14,AF14)</f>
        <v>55932.300999999985</v>
      </c>
      <c r="E14" s="113">
        <f>J14+L14+N14+P14</f>
        <v>19016.071</v>
      </c>
      <c r="F14" s="113">
        <f>G14</f>
        <v>17988.760000000002</v>
      </c>
      <c r="G14" s="113">
        <f>SUM(K14,M14,O14,Q14,S14,U14,W14,Y14,AA14,AC14,AE14,AG14)</f>
        <v>17988.760000000002</v>
      </c>
      <c r="H14" s="113">
        <f>IFERROR(G14/D14*100,0)</f>
        <v>32.161666297261768</v>
      </c>
      <c r="I14" s="113">
        <f>IFERROR(G14/E14*100,0)</f>
        <v>94.597669518587736</v>
      </c>
      <c r="J14" s="185">
        <v>7097.3509999999997</v>
      </c>
      <c r="K14" s="185">
        <v>4289.4799999999996</v>
      </c>
      <c r="L14" s="185">
        <v>3533.8</v>
      </c>
      <c r="M14" s="185">
        <v>5094.54</v>
      </c>
      <c r="N14" s="185">
        <v>3048.6</v>
      </c>
      <c r="O14" s="185">
        <v>3732.34</v>
      </c>
      <c r="P14" s="185">
        <v>5336.32</v>
      </c>
      <c r="Q14" s="185">
        <v>4872.3999999999996</v>
      </c>
      <c r="R14" s="185">
        <v>4927.8999999999996</v>
      </c>
      <c r="S14" s="185">
        <v>0</v>
      </c>
      <c r="T14" s="185">
        <v>4673.3</v>
      </c>
      <c r="U14" s="185">
        <v>0</v>
      </c>
      <c r="V14" s="185">
        <v>5445</v>
      </c>
      <c r="W14" s="185">
        <v>0</v>
      </c>
      <c r="X14" s="185">
        <v>4725.1000000000004</v>
      </c>
      <c r="Y14" s="185">
        <v>0</v>
      </c>
      <c r="Z14" s="185">
        <v>3476</v>
      </c>
      <c r="AA14" s="185">
        <v>0</v>
      </c>
      <c r="AB14" s="185">
        <v>3645.6</v>
      </c>
      <c r="AC14" s="185">
        <v>0</v>
      </c>
      <c r="AD14" s="185">
        <v>3710.7</v>
      </c>
      <c r="AE14" s="185">
        <v>0</v>
      </c>
      <c r="AF14" s="185">
        <v>6312.63</v>
      </c>
      <c r="AG14" s="114">
        <v>0</v>
      </c>
      <c r="AH14" s="111"/>
      <c r="AI14" s="106"/>
    </row>
  </sheetData>
  <customSheetViews>
    <customSheetView guid="{2940A182-D1A7-43C5-8D6E-965BED4371B0}" scale="80" state="hidden">
      <pane xSplit="6" ySplit="7" topLeftCell="G8" activePane="bottomRight" state="frozen"/>
      <selection pane="bottomRight" activeCell="D24" sqref="D24"/>
      <pageMargins left="0.7" right="0.7" top="0.75" bottom="0.75" header="0.3" footer="0.3"/>
      <pageSetup paperSize="9" orientation="portrait" r:id="rId1"/>
    </customSheetView>
    <customSheetView guid="{BBF6B43F-E0FC-43DF-B91C-674F6AB4B556}" scale="80">
      <pane xSplit="6" ySplit="7" topLeftCell="G8" activePane="bottomRight" state="frozen"/>
      <selection pane="bottomRight" activeCell="D24" sqref="D24"/>
      <pageMargins left="0.7" right="0.7" top="0.75" bottom="0.75" header="0.3" footer="0.3"/>
      <pageSetup paperSize="9" orientation="portrait" r:id="rId2"/>
    </customSheetView>
    <customSheetView guid="{30B635D9-57DB-47D5-8A0F-4B30DD769960}" scale="80">
      <pane xSplit="6" ySplit="7" topLeftCell="G8" activePane="bottomRight" state="frozen"/>
      <selection pane="bottomRight" activeCell="D24" sqref="D24"/>
      <pageMargins left="0.7" right="0.7" top="0.75" bottom="0.75" header="0.3" footer="0.3"/>
      <pageSetup paperSize="9" orientation="portrait" r:id="rId3"/>
    </customSheetView>
    <customSheetView guid="{DAEDC989-02E7-4319-8354-59410ACF3F1F}" scale="80">
      <pane xSplit="6" ySplit="7" topLeftCell="G8" activePane="bottomRight" state="frozen"/>
      <selection pane="bottomRight" activeCell="G7" sqref="G7"/>
      <pageMargins left="0.7" right="0.7" top="0.75" bottom="0.75" header="0.3" footer="0.3"/>
      <pageSetup paperSize="9" orientation="portrait" r:id="rId4"/>
    </customSheetView>
    <customSheetView guid="{21E1D423-7B38-4272-8354-09B4DB62C9EB}" scale="80">
      <pane xSplit="6" ySplit="7" topLeftCell="G8" activePane="bottomRight" state="frozen"/>
      <selection pane="bottomRight" activeCell="D24" sqref="D24"/>
      <pageMargins left="0.7" right="0.7" top="0.75" bottom="0.75" header="0.3" footer="0.3"/>
      <pageSetup paperSize="9" orientation="portrait" r:id="rId5"/>
    </customSheetView>
    <customSheetView guid="{EA46B61D-849C-4795-A4FF-F8F1740022EB}" scale="80">
      <pane xSplit="6" ySplit="7" topLeftCell="G8" activePane="bottomRight" state="frozen"/>
      <selection pane="bottomRight" activeCell="D24" sqref="D24"/>
      <pageMargins left="0.7" right="0.7" top="0.75" bottom="0.75" header="0.3" footer="0.3"/>
      <pageSetup paperSize="9" orientation="portrait" r:id="rId6"/>
    </customSheetView>
    <customSheetView guid="{A0E2FBF6-E560-4343-8BE6-217DC798135B}" scale="80">
      <pane xSplit="6" ySplit="7" topLeftCell="G8" activePane="bottomRight" state="frozen"/>
      <selection pane="bottomRight" activeCell="D24" sqref="D24"/>
      <pageMargins left="0.7" right="0.7" top="0.75" bottom="0.75" header="0.3" footer="0.3"/>
      <pageSetup paperSize="9" orientation="portrait" r:id="rId7"/>
    </customSheetView>
    <customSheetView guid="{20A05A62-CBE8-4538-BBC3-2AD9D3B8FAC0}" scale="80">
      <pane xSplit="6" ySplit="7" topLeftCell="G8" activePane="bottomRight" state="frozen"/>
      <selection pane="bottomRight" activeCell="D24" sqref="D24"/>
      <pageMargins left="0.7" right="0.7" top="0.75" bottom="0.75" header="0.3" footer="0.3"/>
      <pageSetup paperSize="9" orientation="portrait" r:id="rId8"/>
    </customSheetView>
    <customSheetView guid="{A4AF2100-C59D-4F60-9EAB-56D9103463F7}" scale="80">
      <pane xSplit="6" ySplit="7" topLeftCell="G8" activePane="bottomRight" state="frozen"/>
      <selection pane="bottomRight" activeCell="D24" sqref="D24"/>
      <pageMargins left="0.7" right="0.7" top="0.75" bottom="0.75" header="0.3" footer="0.3"/>
      <pageSetup paperSize="9" orientation="portrait" r:id="rId9"/>
    </customSheetView>
    <customSheetView guid="{AB9978E4-895D-4050-8F07-2484E22632D1}" scale="80">
      <pane xSplit="6" ySplit="7" topLeftCell="G8" activePane="bottomRight" state="frozen"/>
      <selection pane="bottomRight" activeCell="D24" sqref="D24"/>
      <pageMargins left="0.7" right="0.7" top="0.75" bottom="0.75" header="0.3" footer="0.3"/>
      <pageSetup paperSize="9" orientation="portrait" r:id="rId10"/>
    </customSheetView>
    <customSheetView guid="{519948E4-0B24-465F-9D9E-44BE50D1D647}" scale="80">
      <pane xSplit="6" ySplit="7" topLeftCell="G8" activePane="bottomRight" state="frozen"/>
      <selection pane="bottomRight" activeCell="D24" sqref="D24"/>
      <pageMargins left="0.7" right="0.7" top="0.75" bottom="0.75" header="0.3" footer="0.3"/>
      <pageSetup paperSize="9" orientation="portrait" r:id="rId11"/>
    </customSheetView>
    <customSheetView guid="{C7DC638A-7F60-46C9-A1FB-9ADEAE87F332}" scale="80">
      <pane xSplit="6" ySplit="7" topLeftCell="H8" activePane="bottomRight" state="frozen"/>
      <selection pane="bottomRight" activeCell="M20" sqref="M20"/>
      <pageMargins left="0.7" right="0.7" top="0.75" bottom="0.75" header="0.3" footer="0.3"/>
      <pageSetup paperSize="9" orientation="portrait" r:id="rId12"/>
    </customSheetView>
    <customSheetView guid="{2A5A11D4-90C6-4A3E-8165-7D7BD634B22F}" scale="80">
      <pane xSplit="6" ySplit="7" topLeftCell="G8" activePane="bottomRight" state="frozen"/>
      <selection pane="bottomRight" activeCell="D24" sqref="D24"/>
      <pageMargins left="0.7" right="0.7" top="0.75" bottom="0.75" header="0.3" footer="0.3"/>
      <pageSetup paperSize="9" orientation="portrait" r:id="rId13"/>
    </customSheetView>
    <customSheetView guid="{562453CE-35F5-40A3-AD14-6399D1197C99}" scale="80">
      <pane xSplit="6" ySplit="7" topLeftCell="G8" activePane="bottomRight" state="frozen"/>
      <selection pane="bottomRight" activeCell="O14" sqref="O14"/>
      <pageMargins left="0.7" right="0.7" top="0.75" bottom="0.75" header="0.3" footer="0.3"/>
      <pageSetup paperSize="9" orientation="portrait" r:id="rId14"/>
    </customSheetView>
    <customSheetView guid="{B6B60ED6-A6CC-4DA7-A8CA-5E6DB52D5A87}" scale="80">
      <pane xSplit="6" ySplit="7" topLeftCell="G8" activePane="bottomRight" state="frozen"/>
      <selection pane="bottomRight" activeCell="D24" sqref="D24"/>
      <pageMargins left="0.7" right="0.7" top="0.75" bottom="0.75" header="0.3" footer="0.3"/>
      <pageSetup paperSize="9" orientation="portrait" r:id="rId15"/>
    </customSheetView>
    <customSheetView guid="{133BB3F8-8DD4-4AEF-8CD6-A5FB14681329}" scale="80">
      <pane xSplit="6" ySplit="7" topLeftCell="G8" activePane="bottomRight" state="frozen"/>
      <selection pane="bottomRight" activeCell="D24" sqref="D24"/>
      <pageMargins left="0.7" right="0.7" top="0.75" bottom="0.75" header="0.3" footer="0.3"/>
      <pageSetup paperSize="9" orientation="portrait" r:id="rId16"/>
    </customSheetView>
    <customSheetView guid="{5DF2C78B-5EE4-439D-8D72-8D3A913B65F9}" scale="80">
      <pane xSplit="6" ySplit="7" topLeftCell="G8" activePane="bottomRight" state="frozen"/>
      <selection pane="bottomRight" activeCell="D24" sqref="D24"/>
      <pageMargins left="0.7" right="0.7" top="0.75" bottom="0.75" header="0.3" footer="0.3"/>
      <pageSetup paperSize="9" orientation="portrait" r:id="rId17"/>
    </customSheetView>
    <customSheetView guid="{60A1F930-4BEC-460A-8E14-01E47F6DD055}" scale="80">
      <pane xSplit="6" ySplit="7" topLeftCell="G8" activePane="bottomRight" state="frozen"/>
      <selection pane="bottomRight" activeCell="D24" sqref="D24"/>
      <pageMargins left="0.7" right="0.7" top="0.75" bottom="0.75" header="0.3" footer="0.3"/>
      <pageSetup paperSize="9" orientation="portrait" r:id="rId18"/>
    </customSheetView>
    <customSheetView guid="{7C5A2A36-3D69-43D9-9018-A52C27EC78F9}" scale="80">
      <pane xSplit="6" ySplit="7" topLeftCell="G8" activePane="bottomRight" state="frozen"/>
      <selection pane="bottomRight" activeCell="L13" sqref="L13"/>
      <pageMargins left="0.7" right="0.7" top="0.75" bottom="0.75" header="0.3" footer="0.3"/>
      <pageSetup paperSize="9" orientation="portrait" r:id="rId19"/>
    </customSheetView>
    <customSheetView guid="{C282AA4E-1BB5-4296-9AC6-844C0F88E5FC}" scale="80">
      <pane xSplit="6" ySplit="7" topLeftCell="G8" activePane="bottomRight" state="frozen"/>
      <selection pane="bottomRight" activeCell="D24" sqref="D24"/>
      <pageMargins left="0.7" right="0.7" top="0.75" bottom="0.75" header="0.3" footer="0.3"/>
      <pageSetup paperSize="9" orientation="portrait" r:id="rId20"/>
    </customSheetView>
    <customSheetView guid="{996EC2F0-F6EC-4E63-A83E-34865157BD8D}" scale="80">
      <pane xSplit="6" ySplit="7" topLeftCell="G8" activePane="bottomRight" state="frozen"/>
      <selection pane="bottomRight" activeCell="D24" sqref="D24"/>
      <pageMargins left="0.7" right="0.7" top="0.75" bottom="0.75" header="0.3" footer="0.3"/>
      <pageSetup paperSize="9" orientation="portrait" r:id="rId21"/>
    </customSheetView>
    <customSheetView guid="{AFADB96A-0516-43C1-9F1B-0604F3CAC04A}" scale="80">
      <pane xSplit="6" ySplit="7" topLeftCell="G8" activePane="bottomRight" state="frozen"/>
      <selection pane="bottomRight" activeCell="D24" sqref="D24"/>
      <pageMargins left="0.7" right="0.7" top="0.75" bottom="0.75" header="0.3" footer="0.3"/>
      <pageSetup paperSize="9" orientation="portrait" r:id="rId22"/>
    </customSheetView>
  </customSheetViews>
  <mergeCells count="30">
    <mergeCell ref="A4:A6"/>
    <mergeCell ref="B4:B6"/>
    <mergeCell ref="C4:C6"/>
    <mergeCell ref="D4:D5"/>
    <mergeCell ref="E4:E5"/>
    <mergeCell ref="N4:O5"/>
    <mergeCell ref="P4:Q5"/>
    <mergeCell ref="R4:S5"/>
    <mergeCell ref="T4:U5"/>
    <mergeCell ref="C2:S2"/>
    <mergeCell ref="C3:S3"/>
    <mergeCell ref="F4:F5"/>
    <mergeCell ref="G4:G5"/>
    <mergeCell ref="H4:I5"/>
    <mergeCell ref="A13:A14"/>
    <mergeCell ref="B13:B14"/>
    <mergeCell ref="AH4:AH6"/>
    <mergeCell ref="A8:A9"/>
    <mergeCell ref="B8:B9"/>
    <mergeCell ref="B10:AG10"/>
    <mergeCell ref="A11:A12"/>
    <mergeCell ref="B11:B12"/>
    <mergeCell ref="V4:W5"/>
    <mergeCell ref="X4:Y5"/>
    <mergeCell ref="Z4:AA5"/>
    <mergeCell ref="AB4:AC5"/>
    <mergeCell ref="AD4:AE5"/>
    <mergeCell ref="AF4:AG5"/>
    <mergeCell ref="J4:K5"/>
    <mergeCell ref="L4:M5"/>
  </mergeCells>
  <pageMargins left="0.7" right="0.7" top="0.75" bottom="0.75" header="0.3" footer="0.3"/>
  <pageSetup paperSize="9" orientation="portrait" r:id="rId2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60"/>
  <sheetViews>
    <sheetView zoomScale="80" zoomScaleNormal="75" workbookViewId="0">
      <pane xSplit="6" ySplit="7" topLeftCell="G23" activePane="bottomRight" state="frozen"/>
      <selection pane="topRight" activeCell="G1" sqref="G1"/>
      <selection pane="bottomLeft" activeCell="A8" sqref="A8"/>
      <selection pane="bottomRight" activeCell="A8" sqref="A8:XFD10"/>
    </sheetView>
  </sheetViews>
  <sheetFormatPr defaultColWidth="9.140625" defaultRowHeight="15" x14ac:dyDescent="0.25"/>
  <cols>
    <col min="1" max="1" width="6.5703125" style="8" customWidth="1"/>
    <col min="2" max="2" width="34.5703125" style="8" customWidth="1"/>
    <col min="3" max="3" width="20.85546875" style="9" customWidth="1"/>
    <col min="4" max="4" width="18" style="130" customWidth="1"/>
    <col min="5" max="5" width="14.7109375" style="8" customWidth="1"/>
    <col min="6" max="6" width="15" style="8" customWidth="1"/>
    <col min="7" max="7" width="13.85546875" style="8" customWidth="1"/>
    <col min="8" max="8" width="12.140625" style="8" customWidth="1"/>
    <col min="9" max="9" width="10.85546875" style="8" customWidth="1"/>
    <col min="10" max="10" width="14.28515625" style="8" customWidth="1"/>
    <col min="11" max="11" width="13.5703125" style="8" customWidth="1"/>
    <col min="12" max="12" width="15.140625" style="8" customWidth="1"/>
    <col min="13" max="13" width="13" style="8" customWidth="1"/>
    <col min="14" max="14" width="15.28515625" style="8" customWidth="1"/>
    <col min="15" max="15" width="11.5703125" style="8" customWidth="1"/>
    <col min="16" max="16" width="15" style="8" customWidth="1"/>
    <col min="17" max="17" width="11.5703125" style="8" customWidth="1"/>
    <col min="18" max="18" width="14.42578125"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5" style="8" customWidth="1"/>
    <col min="25" max="25" width="11.5703125" style="8" customWidth="1"/>
    <col min="26" max="26" width="16.140625" style="8" customWidth="1"/>
    <col min="27" max="27" width="11.5703125" style="8" customWidth="1"/>
    <col min="28" max="28" width="14.85546875" style="8" customWidth="1"/>
    <col min="29" max="29" width="11.5703125" style="8" customWidth="1"/>
    <col min="30" max="30" width="13.42578125" style="8" customWidth="1"/>
    <col min="31" max="31" width="11.5703125" style="8" customWidth="1"/>
    <col min="32" max="32" width="13.7109375" style="8" customWidth="1"/>
    <col min="33" max="33" width="11.5703125" style="8" customWidth="1"/>
    <col min="34" max="34" width="124.42578125" style="8" customWidth="1"/>
    <col min="35" max="16384" width="9.140625" style="8"/>
  </cols>
  <sheetData>
    <row r="1" spans="1:35" s="10" customFormat="1" ht="23.25" customHeight="1" x14ac:dyDescent="0.25">
      <c r="C1" s="119"/>
      <c r="D1" s="120"/>
      <c r="E1" s="13"/>
      <c r="F1" s="13"/>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5" s="10" customFormat="1" ht="15.75" x14ac:dyDescent="0.25">
      <c r="A2" s="55"/>
      <c r="B2" s="55"/>
      <c r="C2" s="346" t="s">
        <v>24</v>
      </c>
      <c r="D2" s="346"/>
      <c r="E2" s="346"/>
      <c r="F2" s="346"/>
      <c r="G2" s="346"/>
      <c r="H2" s="346"/>
      <c r="I2" s="346"/>
      <c r="J2" s="346"/>
      <c r="K2" s="346"/>
      <c r="L2" s="346"/>
      <c r="M2" s="346"/>
      <c r="N2" s="346"/>
      <c r="O2" s="346"/>
      <c r="P2" s="346"/>
      <c r="Q2" s="346"/>
      <c r="R2" s="346"/>
      <c r="S2" s="346"/>
      <c r="T2" s="35"/>
      <c r="U2" s="35"/>
      <c r="V2" s="35"/>
      <c r="W2" s="35"/>
      <c r="X2" s="35"/>
      <c r="Y2" s="35"/>
      <c r="Z2" s="35"/>
      <c r="AA2" s="35"/>
      <c r="AB2" s="35"/>
      <c r="AC2" s="35"/>
      <c r="AD2" s="35"/>
      <c r="AE2" s="35"/>
      <c r="AF2" s="35"/>
      <c r="AG2" s="35"/>
      <c r="AH2" s="35"/>
    </row>
    <row r="3" spans="1:35" s="10" customFormat="1" ht="27" customHeight="1" x14ac:dyDescent="0.25">
      <c r="A3" s="55"/>
      <c r="B3" s="55"/>
      <c r="C3" s="347" t="s">
        <v>302</v>
      </c>
      <c r="D3" s="347"/>
      <c r="E3" s="347"/>
      <c r="F3" s="347"/>
      <c r="G3" s="347"/>
      <c r="H3" s="347"/>
      <c r="I3" s="347"/>
      <c r="J3" s="347"/>
      <c r="K3" s="347"/>
      <c r="L3" s="347"/>
      <c r="M3" s="347"/>
      <c r="N3" s="347"/>
      <c r="O3" s="347"/>
      <c r="P3" s="347"/>
      <c r="Q3" s="347"/>
      <c r="R3" s="347"/>
      <c r="S3" s="347"/>
      <c r="T3" s="36"/>
      <c r="U3" s="36"/>
      <c r="V3" s="36"/>
      <c r="W3" s="36"/>
      <c r="X3" s="36"/>
      <c r="Y3" s="36"/>
      <c r="Z3" s="36"/>
      <c r="AA3" s="36"/>
      <c r="AB3" s="36"/>
      <c r="AC3" s="36"/>
      <c r="AD3" s="37"/>
      <c r="AE3" s="37"/>
      <c r="AF3" s="37"/>
      <c r="AG3" s="37" t="s">
        <v>0</v>
      </c>
      <c r="AH3" s="37"/>
    </row>
    <row r="4" spans="1:35" s="10" customFormat="1" ht="15" customHeight="1" x14ac:dyDescent="0.25">
      <c r="A4" s="348" t="s">
        <v>26</v>
      </c>
      <c r="B4" s="351" t="s">
        <v>29</v>
      </c>
      <c r="C4" s="354" t="s">
        <v>30</v>
      </c>
      <c r="D4" s="357"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10" customFormat="1" ht="39" customHeight="1" x14ac:dyDescent="0.25">
      <c r="A5" s="349"/>
      <c r="B5" s="352"/>
      <c r="C5" s="355"/>
      <c r="D5" s="358"/>
      <c r="E5" s="360"/>
      <c r="F5" s="360"/>
      <c r="G5" s="360"/>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5" s="10" customFormat="1" ht="64.5" customHeight="1" x14ac:dyDescent="0.25">
      <c r="A6" s="350"/>
      <c r="B6" s="353"/>
      <c r="C6" s="356"/>
      <c r="D6" s="121">
        <v>2025</v>
      </c>
      <c r="E6" s="39">
        <v>45748</v>
      </c>
      <c r="F6" s="39">
        <v>45748</v>
      </c>
      <c r="G6" s="39">
        <v>45748</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32" customFormat="1" ht="15.75" x14ac:dyDescent="0.25">
      <c r="A7" s="40">
        <v>1</v>
      </c>
      <c r="B7" s="40">
        <v>2</v>
      </c>
      <c r="C7" s="122">
        <v>3</v>
      </c>
      <c r="D7" s="40">
        <v>4</v>
      </c>
      <c r="E7" s="40">
        <v>5</v>
      </c>
      <c r="F7" s="40">
        <v>6</v>
      </c>
      <c r="G7" s="40">
        <v>7</v>
      </c>
      <c r="H7" s="40">
        <v>8</v>
      </c>
      <c r="I7" s="40">
        <v>9</v>
      </c>
      <c r="J7" s="40">
        <v>10</v>
      </c>
      <c r="K7" s="40">
        <v>11</v>
      </c>
      <c r="L7" s="40">
        <v>12</v>
      </c>
      <c r="M7" s="40">
        <v>13</v>
      </c>
      <c r="N7" s="40">
        <v>14</v>
      </c>
      <c r="O7" s="40">
        <v>15</v>
      </c>
      <c r="P7" s="40">
        <v>16</v>
      </c>
      <c r="Q7" s="40">
        <v>17</v>
      </c>
      <c r="R7" s="40">
        <v>18</v>
      </c>
      <c r="S7" s="40">
        <v>19</v>
      </c>
      <c r="T7" s="40">
        <v>20</v>
      </c>
      <c r="U7" s="40">
        <v>21</v>
      </c>
      <c r="V7" s="40">
        <v>22</v>
      </c>
      <c r="W7" s="40">
        <v>23</v>
      </c>
      <c r="X7" s="40">
        <v>24</v>
      </c>
      <c r="Y7" s="40">
        <v>25</v>
      </c>
      <c r="Z7" s="40">
        <v>26</v>
      </c>
      <c r="AA7" s="40">
        <v>27</v>
      </c>
      <c r="AB7" s="40">
        <v>28</v>
      </c>
      <c r="AC7" s="40">
        <v>29</v>
      </c>
      <c r="AD7" s="40">
        <v>30</v>
      </c>
      <c r="AE7" s="40">
        <v>31</v>
      </c>
      <c r="AF7" s="40">
        <v>32</v>
      </c>
      <c r="AG7" s="40">
        <v>33</v>
      </c>
      <c r="AH7" s="40">
        <v>34</v>
      </c>
    </row>
    <row r="8" spans="1:35" s="25" customFormat="1" ht="31.5" customHeight="1" x14ac:dyDescent="0.25">
      <c r="A8" s="364"/>
      <c r="B8" s="528" t="s">
        <v>23</v>
      </c>
      <c r="C8" s="191" t="s">
        <v>20</v>
      </c>
      <c r="D8" s="192">
        <f>D10+D9</f>
        <v>117208.59900000002</v>
      </c>
      <c r="E8" s="192">
        <f>E10+E9</f>
        <v>43686.931000000004</v>
      </c>
      <c r="F8" s="192">
        <f t="shared" ref="F8:G8" si="0">F10+F9</f>
        <v>39360.323999999993</v>
      </c>
      <c r="G8" s="192">
        <f t="shared" si="0"/>
        <v>39360.323999999993</v>
      </c>
      <c r="H8" s="192">
        <f>IFERROR(G8/D8*100,0)</f>
        <v>33.581430318094654</v>
      </c>
      <c r="I8" s="192">
        <f>IFERROR(G8/E8*100,0)</f>
        <v>90.096335675307543</v>
      </c>
      <c r="J8" s="193">
        <f>J9+J10</f>
        <v>19836.083000000002</v>
      </c>
      <c r="K8" s="193">
        <f t="shared" ref="K8:AG8" si="1">K9+K10</f>
        <v>15167.894999999999</v>
      </c>
      <c r="L8" s="193">
        <f t="shared" si="1"/>
        <v>12187.647999999999</v>
      </c>
      <c r="M8" s="193">
        <f t="shared" si="1"/>
        <v>11974.716</v>
      </c>
      <c r="N8" s="193">
        <f t="shared" si="1"/>
        <v>12075.3</v>
      </c>
      <c r="O8" s="193">
        <f t="shared" si="1"/>
        <v>12217.713</v>
      </c>
      <c r="P8" s="193">
        <f t="shared" si="1"/>
        <v>11688.481</v>
      </c>
      <c r="Q8" s="193">
        <f t="shared" si="1"/>
        <v>0</v>
      </c>
      <c r="R8" s="193">
        <f t="shared" si="1"/>
        <v>9196.1150000000016</v>
      </c>
      <c r="S8" s="193">
        <f t="shared" si="1"/>
        <v>0</v>
      </c>
      <c r="T8" s="193">
        <f t="shared" si="1"/>
        <v>6828.9670000000006</v>
      </c>
      <c r="U8" s="193">
        <f t="shared" si="1"/>
        <v>0</v>
      </c>
      <c r="V8" s="193">
        <f t="shared" si="1"/>
        <v>9344.726999999999</v>
      </c>
      <c r="W8" s="193">
        <f t="shared" si="1"/>
        <v>0</v>
      </c>
      <c r="X8" s="193">
        <f t="shared" si="1"/>
        <v>8455.0380000000005</v>
      </c>
      <c r="Y8" s="193">
        <f t="shared" si="1"/>
        <v>0</v>
      </c>
      <c r="Z8" s="193">
        <f t="shared" si="1"/>
        <v>6311.058</v>
      </c>
      <c r="AA8" s="193">
        <f t="shared" si="1"/>
        <v>0</v>
      </c>
      <c r="AB8" s="193">
        <f t="shared" si="1"/>
        <v>7366.4690000000001</v>
      </c>
      <c r="AC8" s="193">
        <f t="shared" si="1"/>
        <v>0</v>
      </c>
      <c r="AD8" s="193">
        <f t="shared" si="1"/>
        <v>8011.8969999999999</v>
      </c>
      <c r="AE8" s="193">
        <f t="shared" si="1"/>
        <v>0</v>
      </c>
      <c r="AF8" s="193">
        <f t="shared" si="1"/>
        <v>5906.8160000000007</v>
      </c>
      <c r="AG8" s="193">
        <f t="shared" si="1"/>
        <v>0</v>
      </c>
      <c r="AH8" s="72"/>
    </row>
    <row r="9" spans="1:35" s="26" customFormat="1" ht="40.5" customHeight="1" x14ac:dyDescent="0.25">
      <c r="A9" s="365"/>
      <c r="B9" s="529"/>
      <c r="C9" s="194" t="s">
        <v>21</v>
      </c>
      <c r="D9" s="195">
        <f>J9+L9+N9+P9+R9+T9+V9+X9+Z9+AB9+AD9+AF9</f>
        <v>116780.59900000002</v>
      </c>
      <c r="E9" s="195">
        <f>J9+L9+N9</f>
        <v>43671.031000000003</v>
      </c>
      <c r="F9" s="195">
        <f t="shared" ref="F9:F10" si="2">G9</f>
        <v>39360.323999999993</v>
      </c>
      <c r="G9" s="195">
        <f>K9+M9+O9+Q9+S9+U9+W9+Y9+AA9+AC9+AE9+AG9</f>
        <v>39360.323999999993</v>
      </c>
      <c r="H9" s="195">
        <f>IFERROR(G9/D9*100,0)</f>
        <v>33.704506002747934</v>
      </c>
      <c r="I9" s="195">
        <f>IFERROR(G9/E9*100,0)</f>
        <v>90.129138467099608</v>
      </c>
      <c r="J9" s="195">
        <f t="shared" ref="J9:AG9" si="3">J13+J22+J25+J28+J53</f>
        <v>19820.183000000001</v>
      </c>
      <c r="K9" s="195">
        <f t="shared" si="3"/>
        <v>15167.894999999999</v>
      </c>
      <c r="L9" s="195">
        <f t="shared" si="3"/>
        <v>11775.547999999999</v>
      </c>
      <c r="M9" s="195">
        <f t="shared" si="3"/>
        <v>11974.716</v>
      </c>
      <c r="N9" s="195">
        <f t="shared" si="3"/>
        <v>12075.3</v>
      </c>
      <c r="O9" s="195">
        <f t="shared" si="3"/>
        <v>12217.713</v>
      </c>
      <c r="P9" s="195">
        <f t="shared" si="3"/>
        <v>11688.481</v>
      </c>
      <c r="Q9" s="195">
        <f t="shared" si="3"/>
        <v>0</v>
      </c>
      <c r="R9" s="195">
        <f t="shared" si="3"/>
        <v>9196.1150000000016</v>
      </c>
      <c r="S9" s="195">
        <f t="shared" si="3"/>
        <v>0</v>
      </c>
      <c r="T9" s="195">
        <f t="shared" si="3"/>
        <v>6828.9670000000006</v>
      </c>
      <c r="U9" s="195">
        <f t="shared" si="3"/>
        <v>0</v>
      </c>
      <c r="V9" s="195">
        <f t="shared" si="3"/>
        <v>9344.726999999999</v>
      </c>
      <c r="W9" s="195">
        <f t="shared" si="3"/>
        <v>0</v>
      </c>
      <c r="X9" s="195">
        <f t="shared" si="3"/>
        <v>8455.0380000000005</v>
      </c>
      <c r="Y9" s="195">
        <f t="shared" si="3"/>
        <v>0</v>
      </c>
      <c r="Z9" s="195">
        <f t="shared" si="3"/>
        <v>6311.058</v>
      </c>
      <c r="AA9" s="195">
        <f t="shared" si="3"/>
        <v>0</v>
      </c>
      <c r="AB9" s="195">
        <f t="shared" si="3"/>
        <v>7366.4690000000001</v>
      </c>
      <c r="AC9" s="195">
        <f t="shared" si="3"/>
        <v>0</v>
      </c>
      <c r="AD9" s="195">
        <f t="shared" si="3"/>
        <v>8011.8969999999999</v>
      </c>
      <c r="AE9" s="195">
        <f t="shared" si="3"/>
        <v>0</v>
      </c>
      <c r="AF9" s="195">
        <f t="shared" si="3"/>
        <v>5906.8160000000007</v>
      </c>
      <c r="AG9" s="195">
        <f t="shared" si="3"/>
        <v>0</v>
      </c>
      <c r="AH9" s="75"/>
    </row>
    <row r="10" spans="1:35" s="26" customFormat="1" ht="34.5" customHeight="1" x14ac:dyDescent="0.25">
      <c r="A10" s="366"/>
      <c r="B10" s="530"/>
      <c r="C10" s="194" t="s">
        <v>114</v>
      </c>
      <c r="D10" s="195">
        <f t="shared" ref="D10" si="4">J10+L10+N10+P10+R10+T10+V10+X10+Z10+AB10+AD10+AF10</f>
        <v>428</v>
      </c>
      <c r="E10" s="195">
        <f t="shared" ref="E10" si="5">J10</f>
        <v>15.9</v>
      </c>
      <c r="F10" s="195">
        <f t="shared" si="2"/>
        <v>0</v>
      </c>
      <c r="G10" s="195">
        <f t="shared" ref="G10" si="6">K10+M10+O10+Q10+S10+U10+W10+Y10+AA10+AC10+AE10+AG10</f>
        <v>0</v>
      </c>
      <c r="H10" s="195">
        <f>IFERROR(G10/D10*100,0)</f>
        <v>0</v>
      </c>
      <c r="I10" s="195">
        <f>IFERROR(G10/E10*100,0)</f>
        <v>0</v>
      </c>
      <c r="J10" s="195">
        <f>J29</f>
        <v>15.9</v>
      </c>
      <c r="K10" s="195">
        <f t="shared" ref="K10:AG10" si="7">K29</f>
        <v>0</v>
      </c>
      <c r="L10" s="195">
        <f t="shared" si="7"/>
        <v>412.1</v>
      </c>
      <c r="M10" s="195">
        <f>M29</f>
        <v>0</v>
      </c>
      <c r="N10" s="195">
        <f t="shared" si="7"/>
        <v>0</v>
      </c>
      <c r="O10" s="195">
        <f t="shared" si="7"/>
        <v>0</v>
      </c>
      <c r="P10" s="195">
        <f t="shared" si="7"/>
        <v>0</v>
      </c>
      <c r="Q10" s="195">
        <f t="shared" si="7"/>
        <v>0</v>
      </c>
      <c r="R10" s="195">
        <f t="shared" si="7"/>
        <v>0</v>
      </c>
      <c r="S10" s="195">
        <f t="shared" si="7"/>
        <v>0</v>
      </c>
      <c r="T10" s="195">
        <f t="shared" si="7"/>
        <v>0</v>
      </c>
      <c r="U10" s="195">
        <f t="shared" si="7"/>
        <v>0</v>
      </c>
      <c r="V10" s="195">
        <f t="shared" si="7"/>
        <v>0</v>
      </c>
      <c r="W10" s="195">
        <f t="shared" si="7"/>
        <v>0</v>
      </c>
      <c r="X10" s="195">
        <f t="shared" si="7"/>
        <v>0</v>
      </c>
      <c r="Y10" s="195">
        <f t="shared" si="7"/>
        <v>0</v>
      </c>
      <c r="Z10" s="195">
        <f t="shared" si="7"/>
        <v>0</v>
      </c>
      <c r="AA10" s="195">
        <f t="shared" si="7"/>
        <v>0</v>
      </c>
      <c r="AB10" s="195">
        <f t="shared" si="7"/>
        <v>0</v>
      </c>
      <c r="AC10" s="195">
        <f t="shared" si="7"/>
        <v>0</v>
      </c>
      <c r="AD10" s="195">
        <f t="shared" si="7"/>
        <v>0</v>
      </c>
      <c r="AE10" s="195">
        <f t="shared" si="7"/>
        <v>0</v>
      </c>
      <c r="AF10" s="195">
        <f t="shared" si="7"/>
        <v>0</v>
      </c>
      <c r="AG10" s="195">
        <f t="shared" si="7"/>
        <v>0</v>
      </c>
      <c r="AH10" s="75"/>
    </row>
    <row r="11" spans="1:35" s="22" customFormat="1" ht="18.75" customHeight="1" x14ac:dyDescent="0.25">
      <c r="A11" s="68"/>
      <c r="B11" s="370" t="s">
        <v>303</v>
      </c>
      <c r="C11" s="371"/>
      <c r="D11" s="371"/>
      <c r="E11" s="371"/>
      <c r="F11" s="371"/>
      <c r="G11" s="371"/>
      <c r="H11" s="371"/>
      <c r="I11" s="371"/>
      <c r="J11" s="371"/>
      <c r="K11" s="371"/>
      <c r="L11" s="371"/>
      <c r="M11" s="371"/>
      <c r="N11" s="371"/>
      <c r="O11" s="371"/>
      <c r="P11" s="371"/>
      <c r="Q11" s="371"/>
      <c r="R11" s="371"/>
      <c r="S11" s="371"/>
      <c r="T11" s="371"/>
      <c r="U11" s="371"/>
      <c r="V11" s="371"/>
      <c r="W11" s="371"/>
      <c r="X11" s="371"/>
      <c r="Y11" s="371"/>
      <c r="Z11" s="371"/>
      <c r="AA11" s="371"/>
      <c r="AB11" s="371"/>
      <c r="AC11" s="371"/>
      <c r="AD11" s="371"/>
      <c r="AE11" s="371"/>
      <c r="AF11" s="371"/>
      <c r="AG11" s="372"/>
      <c r="AH11" s="46"/>
    </row>
    <row r="12" spans="1:35" s="21" customFormat="1" ht="23.25" customHeight="1" x14ac:dyDescent="0.25">
      <c r="A12" s="494" t="s">
        <v>37</v>
      </c>
      <c r="B12" s="496" t="s">
        <v>304</v>
      </c>
      <c r="C12" s="186" t="s">
        <v>20</v>
      </c>
      <c r="D12" s="187">
        <f>D13</f>
        <v>7799.4</v>
      </c>
      <c r="E12" s="187">
        <f>E13</f>
        <v>6499.4</v>
      </c>
      <c r="F12" s="187">
        <f t="shared" ref="F12:G12" si="8">F13</f>
        <v>6499.4</v>
      </c>
      <c r="G12" s="187">
        <f t="shared" si="8"/>
        <v>6499.4</v>
      </c>
      <c r="H12" s="187">
        <f t="shared" ref="H12:H27" si="9">IFERROR(G12/D12*100,0)</f>
        <v>83.332051183424355</v>
      </c>
      <c r="I12" s="187">
        <f t="shared" ref="I12:I27" si="10">IFERROR(G12/E12*100,0)</f>
        <v>100</v>
      </c>
      <c r="J12" s="187">
        <f>J13</f>
        <v>6499.4</v>
      </c>
      <c r="K12" s="187">
        <f t="shared" ref="K12:AG12" si="11">K13</f>
        <v>6499.4</v>
      </c>
      <c r="L12" s="187">
        <f t="shared" si="11"/>
        <v>0</v>
      </c>
      <c r="M12" s="187">
        <f t="shared" si="11"/>
        <v>0</v>
      </c>
      <c r="N12" s="187">
        <f t="shared" si="11"/>
        <v>0</v>
      </c>
      <c r="O12" s="187">
        <f t="shared" si="11"/>
        <v>0</v>
      </c>
      <c r="P12" s="187">
        <f t="shared" si="11"/>
        <v>300</v>
      </c>
      <c r="Q12" s="187">
        <f t="shared" si="11"/>
        <v>0</v>
      </c>
      <c r="R12" s="187">
        <f t="shared" si="11"/>
        <v>0</v>
      </c>
      <c r="S12" s="187">
        <f t="shared" si="11"/>
        <v>0</v>
      </c>
      <c r="T12" s="187">
        <f t="shared" si="11"/>
        <v>0</v>
      </c>
      <c r="U12" s="187">
        <f t="shared" si="11"/>
        <v>0</v>
      </c>
      <c r="V12" s="187">
        <f t="shared" si="11"/>
        <v>0</v>
      </c>
      <c r="W12" s="187">
        <f t="shared" si="11"/>
        <v>0</v>
      </c>
      <c r="X12" s="187">
        <f t="shared" si="11"/>
        <v>0</v>
      </c>
      <c r="Y12" s="187">
        <f t="shared" si="11"/>
        <v>0</v>
      </c>
      <c r="Z12" s="187">
        <f t="shared" si="11"/>
        <v>0</v>
      </c>
      <c r="AA12" s="187">
        <f t="shared" si="11"/>
        <v>0</v>
      </c>
      <c r="AB12" s="187">
        <f t="shared" si="11"/>
        <v>0</v>
      </c>
      <c r="AC12" s="187">
        <f t="shared" si="11"/>
        <v>0</v>
      </c>
      <c r="AD12" s="187">
        <f t="shared" si="11"/>
        <v>1000</v>
      </c>
      <c r="AE12" s="187">
        <f t="shared" si="11"/>
        <v>0</v>
      </c>
      <c r="AF12" s="187">
        <f t="shared" si="11"/>
        <v>0</v>
      </c>
      <c r="AG12" s="187">
        <f t="shared" si="11"/>
        <v>0</v>
      </c>
      <c r="AH12" s="60"/>
      <c r="AI12" s="23"/>
    </row>
    <row r="13" spans="1:35" s="22" customFormat="1" ht="48" customHeight="1" x14ac:dyDescent="0.25">
      <c r="A13" s="495"/>
      <c r="B13" s="497"/>
      <c r="C13" s="189" t="s">
        <v>21</v>
      </c>
      <c r="D13" s="190">
        <f>SUM(J13,L13,N13,P13,R13,T13,V13,X13,Z13,AB13,AD13,AF13)</f>
        <v>7799.4</v>
      </c>
      <c r="E13" s="190">
        <f>J13+L13</f>
        <v>6499.4</v>
      </c>
      <c r="F13" s="190">
        <f>G13</f>
        <v>6499.4</v>
      </c>
      <c r="G13" s="190">
        <f>SUM(K13,M13,O13,Q13,S13,U13,W13,Y13,AA13,AC13,AE13,AG13)</f>
        <v>6499.4</v>
      </c>
      <c r="H13" s="190">
        <f t="shared" si="9"/>
        <v>83.332051183424355</v>
      </c>
      <c r="I13" s="190">
        <f t="shared" si="10"/>
        <v>100</v>
      </c>
      <c r="J13" s="196">
        <f t="shared" ref="J13:AG13" si="12">J15+J17+J19</f>
        <v>6499.4</v>
      </c>
      <c r="K13" s="196">
        <f t="shared" si="12"/>
        <v>6499.4</v>
      </c>
      <c r="L13" s="196">
        <f t="shared" si="12"/>
        <v>0</v>
      </c>
      <c r="M13" s="196">
        <f t="shared" si="12"/>
        <v>0</v>
      </c>
      <c r="N13" s="196">
        <f t="shared" si="12"/>
        <v>0</v>
      </c>
      <c r="O13" s="196">
        <f t="shared" si="12"/>
        <v>0</v>
      </c>
      <c r="P13" s="196">
        <f t="shared" si="12"/>
        <v>300</v>
      </c>
      <c r="Q13" s="196">
        <f t="shared" si="12"/>
        <v>0</v>
      </c>
      <c r="R13" s="196">
        <f t="shared" si="12"/>
        <v>0</v>
      </c>
      <c r="S13" s="196">
        <f t="shared" si="12"/>
        <v>0</v>
      </c>
      <c r="T13" s="196">
        <f t="shared" si="12"/>
        <v>0</v>
      </c>
      <c r="U13" s="196">
        <f t="shared" si="12"/>
        <v>0</v>
      </c>
      <c r="V13" s="196">
        <f t="shared" si="12"/>
        <v>0</v>
      </c>
      <c r="W13" s="196">
        <f t="shared" si="12"/>
        <v>0</v>
      </c>
      <c r="X13" s="196">
        <f t="shared" si="12"/>
        <v>0</v>
      </c>
      <c r="Y13" s="196">
        <f t="shared" si="12"/>
        <v>0</v>
      </c>
      <c r="Z13" s="196">
        <f t="shared" si="12"/>
        <v>0</v>
      </c>
      <c r="AA13" s="196">
        <f t="shared" si="12"/>
        <v>0</v>
      </c>
      <c r="AB13" s="196">
        <f t="shared" si="12"/>
        <v>0</v>
      </c>
      <c r="AC13" s="196">
        <f t="shared" si="12"/>
        <v>0</v>
      </c>
      <c r="AD13" s="196">
        <f t="shared" si="12"/>
        <v>1000</v>
      </c>
      <c r="AE13" s="196">
        <f t="shared" si="12"/>
        <v>0</v>
      </c>
      <c r="AF13" s="196">
        <f t="shared" si="12"/>
        <v>0</v>
      </c>
      <c r="AG13" s="196">
        <f t="shared" si="12"/>
        <v>0</v>
      </c>
      <c r="AH13" s="64"/>
      <c r="AI13" s="20"/>
    </row>
    <row r="14" spans="1:35" s="21" customFormat="1" ht="48" customHeight="1" x14ac:dyDescent="0.25">
      <c r="A14" s="373"/>
      <c r="B14" s="498" t="s">
        <v>305</v>
      </c>
      <c r="C14" s="125" t="s">
        <v>20</v>
      </c>
      <c r="D14" s="70">
        <f>D15</f>
        <v>1000</v>
      </c>
      <c r="E14" s="70">
        <f>E15</f>
        <v>0</v>
      </c>
      <c r="F14" s="70">
        <f t="shared" ref="F14:G14" si="13">F15</f>
        <v>0</v>
      </c>
      <c r="G14" s="70">
        <f t="shared" si="13"/>
        <v>0</v>
      </c>
      <c r="H14" s="58">
        <f t="shared" si="9"/>
        <v>0</v>
      </c>
      <c r="I14" s="58">
        <f t="shared" si="10"/>
        <v>0</v>
      </c>
      <c r="J14" s="58">
        <f>J15</f>
        <v>0</v>
      </c>
      <c r="K14" s="58">
        <f t="shared" ref="K14:AG14" si="14">K15</f>
        <v>0</v>
      </c>
      <c r="L14" s="58">
        <f t="shared" si="14"/>
        <v>0</v>
      </c>
      <c r="M14" s="58">
        <f t="shared" si="14"/>
        <v>0</v>
      </c>
      <c r="N14" s="58">
        <f t="shared" si="14"/>
        <v>0</v>
      </c>
      <c r="O14" s="58">
        <f t="shared" si="14"/>
        <v>0</v>
      </c>
      <c r="P14" s="58">
        <f t="shared" si="14"/>
        <v>0</v>
      </c>
      <c r="Q14" s="58">
        <f t="shared" si="14"/>
        <v>0</v>
      </c>
      <c r="R14" s="58">
        <f t="shared" si="14"/>
        <v>0</v>
      </c>
      <c r="S14" s="58">
        <f t="shared" si="14"/>
        <v>0</v>
      </c>
      <c r="T14" s="58">
        <f t="shared" si="14"/>
        <v>0</v>
      </c>
      <c r="U14" s="58">
        <f t="shared" si="14"/>
        <v>0</v>
      </c>
      <c r="V14" s="58">
        <f t="shared" si="14"/>
        <v>0</v>
      </c>
      <c r="W14" s="58">
        <f t="shared" si="14"/>
        <v>0</v>
      </c>
      <c r="X14" s="58">
        <f t="shared" si="14"/>
        <v>0</v>
      </c>
      <c r="Y14" s="58">
        <f t="shared" si="14"/>
        <v>0</v>
      </c>
      <c r="Z14" s="58">
        <f t="shared" si="14"/>
        <v>0</v>
      </c>
      <c r="AA14" s="58">
        <f t="shared" si="14"/>
        <v>0</v>
      </c>
      <c r="AB14" s="58">
        <f t="shared" si="14"/>
        <v>0</v>
      </c>
      <c r="AC14" s="58">
        <f t="shared" si="14"/>
        <v>0</v>
      </c>
      <c r="AD14" s="58">
        <f t="shared" si="14"/>
        <v>1000</v>
      </c>
      <c r="AE14" s="58">
        <f t="shared" si="14"/>
        <v>0</v>
      </c>
      <c r="AF14" s="58">
        <f t="shared" si="14"/>
        <v>0</v>
      </c>
      <c r="AG14" s="58">
        <f t="shared" si="14"/>
        <v>0</v>
      </c>
      <c r="AH14" s="285" t="s">
        <v>336</v>
      </c>
      <c r="AI14" s="23"/>
    </row>
    <row r="15" spans="1:35" s="22" customFormat="1" ht="61.9" customHeight="1" x14ac:dyDescent="0.25">
      <c r="A15" s="375"/>
      <c r="B15" s="527"/>
      <c r="C15" s="126" t="s">
        <v>21</v>
      </c>
      <c r="D15" s="74">
        <f>SUM(J15,L15,N15,P15,R15,T15,V15,X15,Z15,AB15,AD15,AF15)</f>
        <v>1000</v>
      </c>
      <c r="E15" s="62">
        <f>J15+L15</f>
        <v>0</v>
      </c>
      <c r="F15" s="62">
        <f>G15</f>
        <v>0</v>
      </c>
      <c r="G15" s="62">
        <f>SUM(K15,M15,O15,Q15,S15,U15,W15,Y15,AA15,AC15,AE15,AG15)</f>
        <v>0</v>
      </c>
      <c r="H15" s="62">
        <f t="shared" si="9"/>
        <v>0</v>
      </c>
      <c r="I15" s="62">
        <f t="shared" si="10"/>
        <v>0</v>
      </c>
      <c r="J15" s="67">
        <v>0</v>
      </c>
      <c r="K15" s="67">
        <v>0</v>
      </c>
      <c r="L15" s="67">
        <v>0</v>
      </c>
      <c r="M15" s="67">
        <v>0</v>
      </c>
      <c r="N15" s="67">
        <v>0</v>
      </c>
      <c r="O15" s="67">
        <v>0</v>
      </c>
      <c r="P15" s="67">
        <v>0</v>
      </c>
      <c r="Q15" s="67">
        <v>0</v>
      </c>
      <c r="R15" s="67">
        <v>0</v>
      </c>
      <c r="S15" s="67">
        <v>0</v>
      </c>
      <c r="T15" s="67">
        <v>0</v>
      </c>
      <c r="U15" s="67">
        <v>0</v>
      </c>
      <c r="V15" s="67">
        <v>0</v>
      </c>
      <c r="W15" s="67">
        <v>0</v>
      </c>
      <c r="X15" s="67">
        <v>0</v>
      </c>
      <c r="Y15" s="67">
        <v>0</v>
      </c>
      <c r="Z15" s="67">
        <v>0</v>
      </c>
      <c r="AA15" s="67">
        <v>0</v>
      </c>
      <c r="AB15" s="67">
        <v>0</v>
      </c>
      <c r="AC15" s="67">
        <v>0</v>
      </c>
      <c r="AD15" s="67">
        <v>1000</v>
      </c>
      <c r="AE15" s="67">
        <v>0</v>
      </c>
      <c r="AF15" s="67">
        <v>0</v>
      </c>
      <c r="AG15" s="67">
        <v>0</v>
      </c>
      <c r="AH15" s="286"/>
      <c r="AI15" s="20"/>
    </row>
    <row r="16" spans="1:35" s="21" customFormat="1" ht="331.15" customHeight="1" x14ac:dyDescent="0.25">
      <c r="A16" s="373"/>
      <c r="B16" s="498" t="s">
        <v>306</v>
      </c>
      <c r="C16" s="125" t="s">
        <v>20</v>
      </c>
      <c r="D16" s="70">
        <f>D17</f>
        <v>6499.4</v>
      </c>
      <c r="E16" s="70">
        <f t="shared" ref="E16:G16" si="15">E17</f>
        <v>6499.4</v>
      </c>
      <c r="F16" s="70">
        <f t="shared" si="15"/>
        <v>6499.4</v>
      </c>
      <c r="G16" s="70">
        <f t="shared" si="15"/>
        <v>6499.4</v>
      </c>
      <c r="H16" s="58">
        <f t="shared" si="9"/>
        <v>100</v>
      </c>
      <c r="I16" s="58">
        <f t="shared" si="10"/>
        <v>100</v>
      </c>
      <c r="J16" s="58">
        <f>J17</f>
        <v>6499.4</v>
      </c>
      <c r="K16" s="58">
        <f t="shared" ref="K16:AG16" si="16">K17</f>
        <v>6499.4</v>
      </c>
      <c r="L16" s="58">
        <f t="shared" si="16"/>
        <v>0</v>
      </c>
      <c r="M16" s="58">
        <f t="shared" si="16"/>
        <v>0</v>
      </c>
      <c r="N16" s="58">
        <f t="shared" si="16"/>
        <v>0</v>
      </c>
      <c r="O16" s="58">
        <f t="shared" si="16"/>
        <v>0</v>
      </c>
      <c r="P16" s="58">
        <f t="shared" si="16"/>
        <v>0</v>
      </c>
      <c r="Q16" s="58">
        <f t="shared" si="16"/>
        <v>0</v>
      </c>
      <c r="R16" s="58">
        <f t="shared" si="16"/>
        <v>0</v>
      </c>
      <c r="S16" s="58">
        <f t="shared" si="16"/>
        <v>0</v>
      </c>
      <c r="T16" s="58">
        <f t="shared" si="16"/>
        <v>0</v>
      </c>
      <c r="U16" s="58">
        <f t="shared" si="16"/>
        <v>0</v>
      </c>
      <c r="V16" s="58">
        <f t="shared" si="16"/>
        <v>0</v>
      </c>
      <c r="W16" s="58">
        <f t="shared" si="16"/>
        <v>0</v>
      </c>
      <c r="X16" s="58">
        <f t="shared" si="16"/>
        <v>0</v>
      </c>
      <c r="Y16" s="58">
        <f t="shared" si="16"/>
        <v>0</v>
      </c>
      <c r="Z16" s="58">
        <f t="shared" si="16"/>
        <v>0</v>
      </c>
      <c r="AA16" s="58">
        <f t="shared" si="16"/>
        <v>0</v>
      </c>
      <c r="AB16" s="58">
        <f t="shared" si="16"/>
        <v>0</v>
      </c>
      <c r="AC16" s="58">
        <f t="shared" si="16"/>
        <v>0</v>
      </c>
      <c r="AD16" s="58">
        <f t="shared" si="16"/>
        <v>0</v>
      </c>
      <c r="AE16" s="58">
        <f t="shared" si="16"/>
        <v>0</v>
      </c>
      <c r="AF16" s="58">
        <f t="shared" si="16"/>
        <v>0</v>
      </c>
      <c r="AG16" s="58">
        <f t="shared" si="16"/>
        <v>0</v>
      </c>
      <c r="AH16" s="285" t="s">
        <v>340</v>
      </c>
      <c r="AI16" s="23"/>
    </row>
    <row r="17" spans="1:35" s="22" customFormat="1" ht="67.900000000000006" customHeight="1" x14ac:dyDescent="0.25">
      <c r="A17" s="375"/>
      <c r="B17" s="527"/>
      <c r="C17" s="126" t="s">
        <v>21</v>
      </c>
      <c r="D17" s="74">
        <f>SUM(J17,L17,N17,P17,R17,T17,V17,X17,Z17,AB17,AD17,AF17)</f>
        <v>6499.4</v>
      </c>
      <c r="E17" s="62">
        <f>J17+L17</f>
        <v>6499.4</v>
      </c>
      <c r="F17" s="62">
        <f>G17</f>
        <v>6499.4</v>
      </c>
      <c r="G17" s="62">
        <f>SUM(K17,M17,O17,Q17,S17,U17,W17,Y17,AA17,AC17,AE17,AG17)</f>
        <v>6499.4</v>
      </c>
      <c r="H17" s="62">
        <f t="shared" si="9"/>
        <v>100</v>
      </c>
      <c r="I17" s="62">
        <f t="shared" si="10"/>
        <v>100</v>
      </c>
      <c r="J17" s="67">
        <v>6499.4</v>
      </c>
      <c r="K17" s="67">
        <v>6499.4</v>
      </c>
      <c r="L17" s="67">
        <v>0</v>
      </c>
      <c r="M17" s="67">
        <v>0</v>
      </c>
      <c r="N17" s="67">
        <v>0</v>
      </c>
      <c r="O17" s="67">
        <v>0</v>
      </c>
      <c r="P17" s="67">
        <v>0</v>
      </c>
      <c r="Q17" s="67">
        <v>0</v>
      </c>
      <c r="R17" s="67">
        <v>0</v>
      </c>
      <c r="S17" s="67">
        <v>0</v>
      </c>
      <c r="T17" s="67">
        <v>0</v>
      </c>
      <c r="U17" s="67">
        <v>0</v>
      </c>
      <c r="V17" s="67">
        <v>0</v>
      </c>
      <c r="W17" s="67">
        <v>0</v>
      </c>
      <c r="X17" s="67">
        <v>0</v>
      </c>
      <c r="Y17" s="67">
        <v>0</v>
      </c>
      <c r="Z17" s="67">
        <v>0</v>
      </c>
      <c r="AA17" s="67">
        <v>0</v>
      </c>
      <c r="AB17" s="67">
        <v>0</v>
      </c>
      <c r="AC17" s="67">
        <v>0</v>
      </c>
      <c r="AD17" s="67">
        <v>0</v>
      </c>
      <c r="AE17" s="67">
        <v>0</v>
      </c>
      <c r="AF17" s="67">
        <v>0</v>
      </c>
      <c r="AG17" s="67">
        <v>0</v>
      </c>
      <c r="AH17" s="64"/>
      <c r="AI17" s="20"/>
    </row>
    <row r="18" spans="1:35" s="21" customFormat="1" ht="40.5" customHeight="1" x14ac:dyDescent="0.25">
      <c r="A18" s="373"/>
      <c r="B18" s="498" t="s">
        <v>307</v>
      </c>
      <c r="C18" s="125" t="s">
        <v>20</v>
      </c>
      <c r="D18" s="70">
        <f>D19</f>
        <v>300</v>
      </c>
      <c r="E18" s="70">
        <f>E19</f>
        <v>0</v>
      </c>
      <c r="F18" s="70">
        <f t="shared" ref="F18:G18" si="17">F19</f>
        <v>0</v>
      </c>
      <c r="G18" s="70">
        <f t="shared" si="17"/>
        <v>0</v>
      </c>
      <c r="H18" s="58">
        <f t="shared" si="9"/>
        <v>0</v>
      </c>
      <c r="I18" s="58">
        <f t="shared" si="10"/>
        <v>0</v>
      </c>
      <c r="J18" s="58">
        <f>J19</f>
        <v>0</v>
      </c>
      <c r="K18" s="58">
        <f t="shared" ref="K18:AG18" si="18">K19</f>
        <v>0</v>
      </c>
      <c r="L18" s="58">
        <f t="shared" si="18"/>
        <v>0</v>
      </c>
      <c r="M18" s="58">
        <f t="shared" si="18"/>
        <v>0</v>
      </c>
      <c r="N18" s="58">
        <f t="shared" si="18"/>
        <v>0</v>
      </c>
      <c r="O18" s="58">
        <f t="shared" si="18"/>
        <v>0</v>
      </c>
      <c r="P18" s="58">
        <f t="shared" si="18"/>
        <v>300</v>
      </c>
      <c r="Q18" s="58">
        <f t="shared" si="18"/>
        <v>0</v>
      </c>
      <c r="R18" s="58">
        <f t="shared" si="18"/>
        <v>0</v>
      </c>
      <c r="S18" s="58">
        <f t="shared" si="18"/>
        <v>0</v>
      </c>
      <c r="T18" s="58">
        <f t="shared" si="18"/>
        <v>0</v>
      </c>
      <c r="U18" s="58">
        <f t="shared" si="18"/>
        <v>0</v>
      </c>
      <c r="V18" s="58">
        <f t="shared" si="18"/>
        <v>0</v>
      </c>
      <c r="W18" s="58">
        <f t="shared" si="18"/>
        <v>0</v>
      </c>
      <c r="X18" s="58">
        <f t="shared" si="18"/>
        <v>0</v>
      </c>
      <c r="Y18" s="58">
        <f t="shared" si="18"/>
        <v>0</v>
      </c>
      <c r="Z18" s="58">
        <f t="shared" si="18"/>
        <v>0</v>
      </c>
      <c r="AA18" s="58">
        <f t="shared" si="18"/>
        <v>0</v>
      </c>
      <c r="AB18" s="58">
        <f t="shared" si="18"/>
        <v>0</v>
      </c>
      <c r="AC18" s="58">
        <f t="shared" si="18"/>
        <v>0</v>
      </c>
      <c r="AD18" s="58">
        <f t="shared" si="18"/>
        <v>0</v>
      </c>
      <c r="AE18" s="58">
        <f t="shared" si="18"/>
        <v>0</v>
      </c>
      <c r="AF18" s="58">
        <f t="shared" si="18"/>
        <v>0</v>
      </c>
      <c r="AG18" s="58">
        <f t="shared" si="18"/>
        <v>0</v>
      </c>
      <c r="AH18" s="285" t="s">
        <v>337</v>
      </c>
      <c r="AI18" s="23"/>
    </row>
    <row r="19" spans="1:35" s="22" customFormat="1" ht="40.9" customHeight="1" x14ac:dyDescent="0.25">
      <c r="A19" s="375"/>
      <c r="B19" s="527"/>
      <c r="C19" s="126" t="s">
        <v>21</v>
      </c>
      <c r="D19" s="74">
        <f>SUM(J19,L19,N19,P19,R19,T19,V19,X19,Z19,AB19,AD19,AF19)</f>
        <v>300</v>
      </c>
      <c r="E19" s="62">
        <f>J19+L19</f>
        <v>0</v>
      </c>
      <c r="F19" s="62">
        <f>G19</f>
        <v>0</v>
      </c>
      <c r="G19" s="62">
        <f>SUM(K19,M19,O19,Q19,S19,U19,W19,Y19,AA19,AC19,AE19,AG19)</f>
        <v>0</v>
      </c>
      <c r="H19" s="62">
        <f t="shared" si="9"/>
        <v>0</v>
      </c>
      <c r="I19" s="62">
        <f t="shared" si="10"/>
        <v>0</v>
      </c>
      <c r="J19" s="67">
        <v>0</v>
      </c>
      <c r="K19" s="67">
        <v>0</v>
      </c>
      <c r="L19" s="67">
        <v>0</v>
      </c>
      <c r="M19" s="67">
        <v>0</v>
      </c>
      <c r="N19" s="67">
        <v>0</v>
      </c>
      <c r="O19" s="67">
        <v>0</v>
      </c>
      <c r="P19" s="67">
        <v>300</v>
      </c>
      <c r="Q19" s="67">
        <v>0</v>
      </c>
      <c r="R19" s="67">
        <v>0</v>
      </c>
      <c r="S19" s="67">
        <v>0</v>
      </c>
      <c r="T19" s="67">
        <v>0</v>
      </c>
      <c r="U19" s="67">
        <v>0</v>
      </c>
      <c r="V19" s="67">
        <v>0</v>
      </c>
      <c r="W19" s="67">
        <v>0</v>
      </c>
      <c r="X19" s="67">
        <v>0</v>
      </c>
      <c r="Y19" s="67">
        <v>0</v>
      </c>
      <c r="Z19" s="67">
        <v>0</v>
      </c>
      <c r="AA19" s="67">
        <v>0</v>
      </c>
      <c r="AB19" s="67">
        <v>0</v>
      </c>
      <c r="AC19" s="67">
        <v>0</v>
      </c>
      <c r="AD19" s="67">
        <v>0</v>
      </c>
      <c r="AE19" s="67">
        <v>0</v>
      </c>
      <c r="AF19" s="67">
        <v>0</v>
      </c>
      <c r="AG19" s="67">
        <v>0</v>
      </c>
      <c r="AH19" s="64"/>
      <c r="AI19" s="20"/>
    </row>
    <row r="20" spans="1:35" s="22" customFormat="1" ht="29.25" customHeight="1" x14ac:dyDescent="0.25">
      <c r="A20" s="164"/>
      <c r="B20" s="370" t="s">
        <v>308</v>
      </c>
      <c r="C20" s="371"/>
      <c r="D20" s="371"/>
      <c r="E20" s="371"/>
      <c r="F20" s="371"/>
      <c r="G20" s="371"/>
      <c r="H20" s="371"/>
      <c r="I20" s="371"/>
      <c r="J20" s="371"/>
      <c r="K20" s="371"/>
      <c r="L20" s="371"/>
      <c r="M20" s="371"/>
      <c r="N20" s="371"/>
      <c r="O20" s="371"/>
      <c r="P20" s="371"/>
      <c r="Q20" s="371"/>
      <c r="R20" s="371"/>
      <c r="S20" s="371"/>
      <c r="T20" s="371"/>
      <c r="U20" s="371"/>
      <c r="V20" s="371"/>
      <c r="W20" s="371"/>
      <c r="X20" s="371"/>
      <c r="Y20" s="371"/>
      <c r="Z20" s="371"/>
      <c r="AA20" s="371"/>
      <c r="AB20" s="371"/>
      <c r="AC20" s="371"/>
      <c r="AD20" s="371"/>
      <c r="AE20" s="371"/>
      <c r="AF20" s="371"/>
      <c r="AG20" s="372"/>
      <c r="AH20" s="64"/>
      <c r="AI20" s="20"/>
    </row>
    <row r="21" spans="1:35" s="21" customFormat="1" ht="55.5" customHeight="1" x14ac:dyDescent="0.25">
      <c r="A21" s="373" t="s">
        <v>38</v>
      </c>
      <c r="B21" s="376" t="s">
        <v>309</v>
      </c>
      <c r="C21" s="125" t="s">
        <v>20</v>
      </c>
      <c r="D21" s="70">
        <f>D22</f>
        <v>1024</v>
      </c>
      <c r="E21" s="70">
        <f>E22</f>
        <v>0</v>
      </c>
      <c r="F21" s="70">
        <f t="shared" ref="F21:G21" si="19">F22</f>
        <v>0</v>
      </c>
      <c r="G21" s="70">
        <f t="shared" si="19"/>
        <v>0</v>
      </c>
      <c r="H21" s="58">
        <f t="shared" si="9"/>
        <v>0</v>
      </c>
      <c r="I21" s="58">
        <f t="shared" si="10"/>
        <v>0</v>
      </c>
      <c r="J21" s="58">
        <f>J22</f>
        <v>0</v>
      </c>
      <c r="K21" s="58">
        <f t="shared" ref="K21:AG21" si="20">K22</f>
        <v>0</v>
      </c>
      <c r="L21" s="58">
        <f t="shared" si="20"/>
        <v>0</v>
      </c>
      <c r="M21" s="58">
        <f t="shared" si="20"/>
        <v>0</v>
      </c>
      <c r="N21" s="58">
        <f t="shared" si="20"/>
        <v>0</v>
      </c>
      <c r="O21" s="58">
        <f t="shared" si="20"/>
        <v>0</v>
      </c>
      <c r="P21" s="58">
        <f t="shared" si="20"/>
        <v>0</v>
      </c>
      <c r="Q21" s="58">
        <f t="shared" si="20"/>
        <v>0</v>
      </c>
      <c r="R21" s="58">
        <f t="shared" si="20"/>
        <v>0</v>
      </c>
      <c r="S21" s="58">
        <f t="shared" si="20"/>
        <v>0</v>
      </c>
      <c r="T21" s="58">
        <f t="shared" si="20"/>
        <v>0</v>
      </c>
      <c r="U21" s="58">
        <f t="shared" si="20"/>
        <v>0</v>
      </c>
      <c r="V21" s="58">
        <f t="shared" si="20"/>
        <v>0</v>
      </c>
      <c r="W21" s="58">
        <f t="shared" si="20"/>
        <v>0</v>
      </c>
      <c r="X21" s="58">
        <f t="shared" si="20"/>
        <v>924</v>
      </c>
      <c r="Y21" s="58">
        <f t="shared" si="20"/>
        <v>0</v>
      </c>
      <c r="Z21" s="58">
        <f t="shared" si="20"/>
        <v>0</v>
      </c>
      <c r="AA21" s="58">
        <f t="shared" si="20"/>
        <v>0</v>
      </c>
      <c r="AB21" s="58">
        <f t="shared" si="20"/>
        <v>0</v>
      </c>
      <c r="AC21" s="58">
        <f t="shared" si="20"/>
        <v>0</v>
      </c>
      <c r="AD21" s="58">
        <f t="shared" si="20"/>
        <v>0</v>
      </c>
      <c r="AE21" s="58">
        <f t="shared" si="20"/>
        <v>0</v>
      </c>
      <c r="AF21" s="58">
        <f t="shared" si="20"/>
        <v>100</v>
      </c>
      <c r="AG21" s="58">
        <f t="shared" si="20"/>
        <v>0</v>
      </c>
      <c r="AH21" s="60"/>
      <c r="AI21" s="23"/>
    </row>
    <row r="22" spans="1:35" s="22" customFormat="1" ht="95.45" customHeight="1" x14ac:dyDescent="0.25">
      <c r="A22" s="375"/>
      <c r="B22" s="378"/>
      <c r="C22" s="126" t="s">
        <v>21</v>
      </c>
      <c r="D22" s="74">
        <f>SUM(J22,L22,N22,P22,R22,T22,V22,X22,Z22,AB22,AD22,AF22)</f>
        <v>1024</v>
      </c>
      <c r="E22" s="62">
        <f>J22+L22</f>
        <v>0</v>
      </c>
      <c r="F22" s="62">
        <f>G22</f>
        <v>0</v>
      </c>
      <c r="G22" s="62">
        <f>SUM(K22,M22,O22,Q22,S22,U22,W22,Y22,AA22,AC22,AE22,AG22)</f>
        <v>0</v>
      </c>
      <c r="H22" s="62">
        <f t="shared" si="9"/>
        <v>0</v>
      </c>
      <c r="I22" s="62">
        <f t="shared" si="10"/>
        <v>0</v>
      </c>
      <c r="J22" s="67">
        <v>0</v>
      </c>
      <c r="K22" s="67">
        <v>0</v>
      </c>
      <c r="L22" s="67">
        <v>0</v>
      </c>
      <c r="M22" s="67">
        <v>0</v>
      </c>
      <c r="N22" s="67">
        <v>0</v>
      </c>
      <c r="O22" s="67">
        <v>0</v>
      </c>
      <c r="P22" s="67">
        <v>0</v>
      </c>
      <c r="Q22" s="67">
        <v>0</v>
      </c>
      <c r="R22" s="67">
        <v>0</v>
      </c>
      <c r="S22" s="67">
        <v>0</v>
      </c>
      <c r="T22" s="67">
        <v>0</v>
      </c>
      <c r="U22" s="67">
        <v>0</v>
      </c>
      <c r="V22" s="67">
        <v>0</v>
      </c>
      <c r="W22" s="67">
        <v>0</v>
      </c>
      <c r="X22" s="67">
        <v>924</v>
      </c>
      <c r="Y22" s="67">
        <v>0</v>
      </c>
      <c r="Z22" s="67">
        <v>0</v>
      </c>
      <c r="AA22" s="67">
        <v>0</v>
      </c>
      <c r="AB22" s="67">
        <v>0</v>
      </c>
      <c r="AC22" s="67">
        <v>0</v>
      </c>
      <c r="AD22" s="67">
        <v>0</v>
      </c>
      <c r="AE22" s="67">
        <v>0</v>
      </c>
      <c r="AF22" s="67">
        <v>100</v>
      </c>
      <c r="AG22" s="67">
        <v>0</v>
      </c>
      <c r="AH22" s="64"/>
      <c r="AI22" s="20"/>
    </row>
    <row r="23" spans="1:35" s="22" customFormat="1" ht="27.6" customHeight="1" x14ac:dyDescent="0.25">
      <c r="A23" s="164"/>
      <c r="B23" s="370" t="s">
        <v>310</v>
      </c>
      <c r="C23" s="371"/>
      <c r="D23" s="371"/>
      <c r="E23" s="371"/>
      <c r="F23" s="371"/>
      <c r="G23" s="371"/>
      <c r="H23" s="371"/>
      <c r="I23" s="371"/>
      <c r="J23" s="371"/>
      <c r="K23" s="371"/>
      <c r="L23" s="371"/>
      <c r="M23" s="371"/>
      <c r="N23" s="371"/>
      <c r="O23" s="371"/>
      <c r="P23" s="371"/>
      <c r="Q23" s="371"/>
      <c r="R23" s="371"/>
      <c r="S23" s="371"/>
      <c r="T23" s="371"/>
      <c r="U23" s="371"/>
      <c r="V23" s="371"/>
      <c r="W23" s="371"/>
      <c r="X23" s="371"/>
      <c r="Y23" s="371"/>
      <c r="Z23" s="371"/>
      <c r="AA23" s="371"/>
      <c r="AB23" s="371"/>
      <c r="AC23" s="371"/>
      <c r="AD23" s="371"/>
      <c r="AE23" s="371"/>
      <c r="AF23" s="371"/>
      <c r="AG23" s="372"/>
      <c r="AH23" s="64"/>
      <c r="AI23" s="20"/>
    </row>
    <row r="24" spans="1:35" s="172" customFormat="1" ht="55.5" customHeight="1" x14ac:dyDescent="0.25">
      <c r="A24" s="515" t="s">
        <v>267</v>
      </c>
      <c r="B24" s="517" t="s">
        <v>311</v>
      </c>
      <c r="C24" s="197" t="s">
        <v>20</v>
      </c>
      <c r="D24" s="198">
        <f>D25</f>
        <v>18765.599999999999</v>
      </c>
      <c r="E24" s="198">
        <f t="shared" ref="E24:G24" si="21">E25</f>
        <v>4522.83</v>
      </c>
      <c r="F24" s="198">
        <f t="shared" si="21"/>
        <v>3736.1349999999998</v>
      </c>
      <c r="G24" s="198">
        <f t="shared" si="21"/>
        <v>3736.1349999999998</v>
      </c>
      <c r="H24" s="198">
        <f t="shared" ref="H24:H25" si="22">IFERROR(G24/D24*100,0)</f>
        <v>19.909488638785863</v>
      </c>
      <c r="I24" s="198">
        <f t="shared" ref="I24:I25" si="23">IFERROR(G24/E24*100,0)</f>
        <v>82.606133770227927</v>
      </c>
      <c r="J24" s="198">
        <f>J25</f>
        <v>1658.1</v>
      </c>
      <c r="K24" s="198">
        <f t="shared" ref="K24:AG24" si="24">K25</f>
        <v>684.57500000000005</v>
      </c>
      <c r="L24" s="198">
        <f t="shared" si="24"/>
        <v>1365.44</v>
      </c>
      <c r="M24" s="198">
        <f>M25</f>
        <v>1630.58</v>
      </c>
      <c r="N24" s="198">
        <f t="shared" si="24"/>
        <v>1499.29</v>
      </c>
      <c r="O24" s="198">
        <f t="shared" si="24"/>
        <v>1420.98</v>
      </c>
      <c r="P24" s="198">
        <f t="shared" si="24"/>
        <v>1698.55</v>
      </c>
      <c r="Q24" s="198">
        <f t="shared" si="24"/>
        <v>0</v>
      </c>
      <c r="R24" s="198">
        <f t="shared" si="24"/>
        <v>1526.84</v>
      </c>
      <c r="S24" s="198">
        <f t="shared" si="24"/>
        <v>0</v>
      </c>
      <c r="T24" s="198">
        <f t="shared" si="24"/>
        <v>1641.58</v>
      </c>
      <c r="U24" s="198">
        <f t="shared" si="24"/>
        <v>0</v>
      </c>
      <c r="V24" s="198">
        <f t="shared" si="24"/>
        <v>1973.95</v>
      </c>
      <c r="W24" s="198">
        <f t="shared" si="24"/>
        <v>0</v>
      </c>
      <c r="X24" s="198">
        <f t="shared" si="24"/>
        <v>1599.68</v>
      </c>
      <c r="Y24" s="198">
        <f t="shared" si="24"/>
        <v>0</v>
      </c>
      <c r="Z24" s="198">
        <f t="shared" si="24"/>
        <v>1414.9</v>
      </c>
      <c r="AA24" s="198">
        <f t="shared" si="24"/>
        <v>0</v>
      </c>
      <c r="AB24" s="198">
        <f t="shared" si="24"/>
        <v>1418.05</v>
      </c>
      <c r="AC24" s="198">
        <f t="shared" si="24"/>
        <v>0</v>
      </c>
      <c r="AD24" s="198">
        <f t="shared" si="24"/>
        <v>1415.68</v>
      </c>
      <c r="AE24" s="198">
        <f t="shared" si="24"/>
        <v>0</v>
      </c>
      <c r="AF24" s="198">
        <f t="shared" si="24"/>
        <v>1553.54</v>
      </c>
      <c r="AG24" s="198">
        <f t="shared" si="24"/>
        <v>0</v>
      </c>
      <c r="AH24" s="203"/>
      <c r="AI24" s="171"/>
    </row>
    <row r="25" spans="1:35" s="178" customFormat="1" ht="183" customHeight="1" x14ac:dyDescent="0.25">
      <c r="A25" s="516"/>
      <c r="B25" s="518"/>
      <c r="C25" s="199" t="s">
        <v>21</v>
      </c>
      <c r="D25" s="200">
        <f>SUM(J25,L25,N25,P25,R25,T25,V25,X25,Z25,AB25,AD25,AF25)</f>
        <v>18765.599999999999</v>
      </c>
      <c r="E25" s="200">
        <f>J25+L25+N25</f>
        <v>4522.83</v>
      </c>
      <c r="F25" s="200">
        <f>K25+M25+O25</f>
        <v>3736.1349999999998</v>
      </c>
      <c r="G25" s="200">
        <f>SUM(K25,M25,O25,Q25,S25,U25,W25,Y25,AA25,AC25,AE25,AG25)</f>
        <v>3736.1349999999998</v>
      </c>
      <c r="H25" s="200">
        <f t="shared" si="22"/>
        <v>19.909488638785863</v>
      </c>
      <c r="I25" s="200">
        <f t="shared" si="23"/>
        <v>82.606133770227927</v>
      </c>
      <c r="J25" s="201">
        <v>1658.1</v>
      </c>
      <c r="K25" s="201">
        <v>684.57500000000005</v>
      </c>
      <c r="L25" s="201">
        <v>1365.44</v>
      </c>
      <c r="M25" s="201">
        <v>1630.58</v>
      </c>
      <c r="N25" s="201">
        <v>1499.29</v>
      </c>
      <c r="O25" s="201">
        <v>1420.98</v>
      </c>
      <c r="P25" s="201">
        <v>1698.55</v>
      </c>
      <c r="Q25" s="201">
        <v>0</v>
      </c>
      <c r="R25" s="201">
        <v>1526.84</v>
      </c>
      <c r="S25" s="201">
        <v>0</v>
      </c>
      <c r="T25" s="201">
        <v>1641.58</v>
      </c>
      <c r="U25" s="201">
        <v>0</v>
      </c>
      <c r="V25" s="201">
        <v>1973.95</v>
      </c>
      <c r="W25" s="201">
        <v>0</v>
      </c>
      <c r="X25" s="201">
        <v>1599.68</v>
      </c>
      <c r="Y25" s="201">
        <v>0</v>
      </c>
      <c r="Z25" s="201">
        <v>1414.9</v>
      </c>
      <c r="AA25" s="201">
        <v>0</v>
      </c>
      <c r="AB25" s="201">
        <v>1418.05</v>
      </c>
      <c r="AC25" s="201">
        <v>0</v>
      </c>
      <c r="AD25" s="201">
        <v>1415.68</v>
      </c>
      <c r="AE25" s="201">
        <v>0</v>
      </c>
      <c r="AF25" s="201">
        <v>1553.54</v>
      </c>
      <c r="AG25" s="201">
        <v>0</v>
      </c>
      <c r="AH25" s="204" t="s">
        <v>344</v>
      </c>
      <c r="AI25" s="177"/>
    </row>
    <row r="26" spans="1:35" s="22" customFormat="1" ht="27.75" customHeight="1" x14ac:dyDescent="0.25">
      <c r="A26" s="164"/>
      <c r="B26" s="456" t="s">
        <v>312</v>
      </c>
      <c r="C26" s="457"/>
      <c r="D26" s="457"/>
      <c r="E26" s="457"/>
      <c r="F26" s="457"/>
      <c r="G26" s="457"/>
      <c r="H26" s="457"/>
      <c r="I26" s="457"/>
      <c r="J26" s="457"/>
      <c r="K26" s="457"/>
      <c r="L26" s="457"/>
      <c r="M26" s="457"/>
      <c r="N26" s="457"/>
      <c r="O26" s="457"/>
      <c r="P26" s="457"/>
      <c r="Q26" s="457"/>
      <c r="R26" s="457"/>
      <c r="S26" s="457"/>
      <c r="T26" s="457"/>
      <c r="U26" s="457"/>
      <c r="V26" s="457"/>
      <c r="W26" s="457"/>
      <c r="X26" s="457"/>
      <c r="Y26" s="457"/>
      <c r="Z26" s="457"/>
      <c r="AA26" s="457"/>
      <c r="AB26" s="457"/>
      <c r="AC26" s="457"/>
      <c r="AD26" s="457"/>
      <c r="AE26" s="457"/>
      <c r="AF26" s="457"/>
      <c r="AG26" s="519"/>
      <c r="AH26" s="202"/>
      <c r="AI26" s="20"/>
    </row>
    <row r="27" spans="1:35" s="22" customFormat="1" ht="28.5" customHeight="1" x14ac:dyDescent="0.25">
      <c r="A27" s="520" t="s">
        <v>313</v>
      </c>
      <c r="B27" s="517" t="s">
        <v>314</v>
      </c>
      <c r="C27" s="186" t="s">
        <v>20</v>
      </c>
      <c r="D27" s="187">
        <f>D29+D28</f>
        <v>62452.004000000001</v>
      </c>
      <c r="E27" s="187">
        <f>E29+E28</f>
        <v>24722.188000000002</v>
      </c>
      <c r="F27" s="187">
        <f t="shared" ref="F27:G27" si="25">F29+F28</f>
        <v>23396.337</v>
      </c>
      <c r="G27" s="187">
        <f t="shared" si="25"/>
        <v>23396.337</v>
      </c>
      <c r="H27" s="187">
        <f t="shared" si="9"/>
        <v>37.462908315960526</v>
      </c>
      <c r="I27" s="187">
        <f t="shared" si="10"/>
        <v>94.636999767172696</v>
      </c>
      <c r="J27" s="188">
        <f>J29+J28</f>
        <v>7656.7209999999995</v>
      </c>
      <c r="K27" s="188">
        <f t="shared" ref="K27:AG27" si="26">K29+K28</f>
        <v>6330.87</v>
      </c>
      <c r="L27" s="188">
        <f t="shared" si="26"/>
        <v>8480.4639999999999</v>
      </c>
      <c r="M27" s="188">
        <f>M29+M28</f>
        <v>8068.3639999999996</v>
      </c>
      <c r="N27" s="188">
        <f t="shared" si="26"/>
        <v>8997.1029999999992</v>
      </c>
      <c r="O27" s="188">
        <f t="shared" si="26"/>
        <v>8997.1029999999992</v>
      </c>
      <c r="P27" s="188">
        <f t="shared" si="26"/>
        <v>6344.6169999999993</v>
      </c>
      <c r="Q27" s="188">
        <f t="shared" si="26"/>
        <v>0</v>
      </c>
      <c r="R27" s="188">
        <f t="shared" si="26"/>
        <v>5385.9040000000005</v>
      </c>
      <c r="S27" s="188">
        <f t="shared" si="26"/>
        <v>0</v>
      </c>
      <c r="T27" s="188">
        <f t="shared" si="26"/>
        <v>3741.5549999999998</v>
      </c>
      <c r="U27" s="188">
        <f t="shared" si="26"/>
        <v>0</v>
      </c>
      <c r="V27" s="188">
        <f t="shared" si="26"/>
        <v>4499.6989999999996</v>
      </c>
      <c r="W27" s="188">
        <f t="shared" si="26"/>
        <v>0</v>
      </c>
      <c r="X27" s="188">
        <f t="shared" si="26"/>
        <v>3801.1420000000003</v>
      </c>
      <c r="Y27" s="188">
        <f t="shared" si="26"/>
        <v>0</v>
      </c>
      <c r="Z27" s="188">
        <f t="shared" si="26"/>
        <v>3317.2509999999997</v>
      </c>
      <c r="AA27" s="188">
        <f t="shared" si="26"/>
        <v>0</v>
      </c>
      <c r="AB27" s="188">
        <f t="shared" si="26"/>
        <v>4124.5119999999997</v>
      </c>
      <c r="AC27" s="188">
        <f t="shared" si="26"/>
        <v>0</v>
      </c>
      <c r="AD27" s="188">
        <f t="shared" si="26"/>
        <v>3772.31</v>
      </c>
      <c r="AE27" s="188">
        <f t="shared" si="26"/>
        <v>0</v>
      </c>
      <c r="AF27" s="188">
        <f t="shared" si="26"/>
        <v>2330.7260000000001</v>
      </c>
      <c r="AG27" s="188">
        <f t="shared" si="26"/>
        <v>0</v>
      </c>
      <c r="AH27" s="205"/>
      <c r="AI27" s="20"/>
    </row>
    <row r="28" spans="1:35" s="26" customFormat="1" ht="34.15" customHeight="1" x14ac:dyDescent="0.25">
      <c r="A28" s="521"/>
      <c r="B28" s="518"/>
      <c r="C28" s="189" t="s">
        <v>21</v>
      </c>
      <c r="D28" s="190">
        <f>SUM(J28,L28,N28,P28,R28,T28,V28,X28,Z28,AB28,AD28,AF28)</f>
        <v>62024.004000000001</v>
      </c>
      <c r="E28" s="190">
        <f>J28+L28+N28</f>
        <v>24706.288</v>
      </c>
      <c r="F28" s="190">
        <f>G28</f>
        <v>23396.337</v>
      </c>
      <c r="G28" s="190">
        <f>SUM(K28,M28,O28,Q28,S28,U28,W28,Y28,AA28,AC28,AE28,AG28)</f>
        <v>23396.337</v>
      </c>
      <c r="H28" s="190">
        <f>IFERROR(G28/D28*100,0)</f>
        <v>37.721423144497415</v>
      </c>
      <c r="I28" s="190">
        <f>IFERROR(G28/E28*100,0)</f>
        <v>94.697904436311916</v>
      </c>
      <c r="J28" s="196">
        <f>J31+J33+J43+J46</f>
        <v>7640.8209999999999</v>
      </c>
      <c r="K28" s="196">
        <f t="shared" ref="K28:AG28" si="27">K31+K33+K43+K46</f>
        <v>6330.87</v>
      </c>
      <c r="L28" s="196">
        <f t="shared" si="27"/>
        <v>8068.3639999999996</v>
      </c>
      <c r="M28" s="196">
        <f>M31+M33+M43+M46</f>
        <v>8068.3639999999996</v>
      </c>
      <c r="N28" s="196">
        <f t="shared" si="27"/>
        <v>8997.1029999999992</v>
      </c>
      <c r="O28" s="196">
        <f t="shared" si="27"/>
        <v>8997.1029999999992</v>
      </c>
      <c r="P28" s="196">
        <f t="shared" si="27"/>
        <v>6344.6169999999993</v>
      </c>
      <c r="Q28" s="196">
        <f t="shared" si="27"/>
        <v>0</v>
      </c>
      <c r="R28" s="196">
        <f t="shared" si="27"/>
        <v>5385.9040000000005</v>
      </c>
      <c r="S28" s="196">
        <f t="shared" si="27"/>
        <v>0</v>
      </c>
      <c r="T28" s="196">
        <f t="shared" si="27"/>
        <v>3741.5549999999998</v>
      </c>
      <c r="U28" s="196">
        <f t="shared" si="27"/>
        <v>0</v>
      </c>
      <c r="V28" s="196">
        <f t="shared" si="27"/>
        <v>4499.6989999999996</v>
      </c>
      <c r="W28" s="196">
        <f t="shared" si="27"/>
        <v>0</v>
      </c>
      <c r="X28" s="196">
        <f t="shared" si="27"/>
        <v>3801.1420000000003</v>
      </c>
      <c r="Y28" s="196">
        <f t="shared" si="27"/>
        <v>0</v>
      </c>
      <c r="Z28" s="196">
        <f t="shared" si="27"/>
        <v>3317.2509999999997</v>
      </c>
      <c r="AA28" s="196">
        <f t="shared" si="27"/>
        <v>0</v>
      </c>
      <c r="AB28" s="196">
        <f t="shared" si="27"/>
        <v>4124.5119999999997</v>
      </c>
      <c r="AC28" s="196">
        <f t="shared" si="27"/>
        <v>0</v>
      </c>
      <c r="AD28" s="196">
        <f t="shared" si="27"/>
        <v>3772.31</v>
      </c>
      <c r="AE28" s="196">
        <f t="shared" si="27"/>
        <v>0</v>
      </c>
      <c r="AF28" s="196">
        <f t="shared" si="27"/>
        <v>2330.7260000000001</v>
      </c>
      <c r="AG28" s="196">
        <f t="shared" si="27"/>
        <v>0</v>
      </c>
      <c r="AH28" s="205"/>
      <c r="AI28" s="24"/>
    </row>
    <row r="29" spans="1:35" s="26" customFormat="1" ht="37.5" customHeight="1" x14ac:dyDescent="0.25">
      <c r="A29" s="522"/>
      <c r="B29" s="518"/>
      <c r="C29" s="189" t="s">
        <v>114</v>
      </c>
      <c r="D29" s="190">
        <f>SUM(J29,L29,N29,P29,R29,T29,V29,X29,Z29,AB29,AD29,AF29)</f>
        <v>428</v>
      </c>
      <c r="E29" s="190">
        <f>J29</f>
        <v>15.9</v>
      </c>
      <c r="F29" s="190">
        <f>G29</f>
        <v>0</v>
      </c>
      <c r="G29" s="190">
        <f>SUM(K29,M29,O29,Q29,S29,U29,W29,Y29,AA29,AC29,AE29,AG29)</f>
        <v>0</v>
      </c>
      <c r="H29" s="190">
        <f>IFERROR(G29/D29*100,0)</f>
        <v>0</v>
      </c>
      <c r="I29" s="190">
        <f>IFERROR(G29/E29*100,0)</f>
        <v>0</v>
      </c>
      <c r="J29" s="196">
        <f>J44</f>
        <v>15.9</v>
      </c>
      <c r="K29" s="196">
        <f t="shared" ref="K29:AG29" si="28">K44</f>
        <v>0</v>
      </c>
      <c r="L29" s="196">
        <f t="shared" si="28"/>
        <v>412.1</v>
      </c>
      <c r="M29" s="196">
        <f t="shared" si="28"/>
        <v>0</v>
      </c>
      <c r="N29" s="196">
        <f t="shared" si="28"/>
        <v>0</v>
      </c>
      <c r="O29" s="196">
        <f t="shared" si="28"/>
        <v>0</v>
      </c>
      <c r="P29" s="196">
        <f t="shared" si="28"/>
        <v>0</v>
      </c>
      <c r="Q29" s="196">
        <f t="shared" si="28"/>
        <v>0</v>
      </c>
      <c r="R29" s="196">
        <f t="shared" si="28"/>
        <v>0</v>
      </c>
      <c r="S29" s="196">
        <f t="shared" si="28"/>
        <v>0</v>
      </c>
      <c r="T29" s="196">
        <f t="shared" si="28"/>
        <v>0</v>
      </c>
      <c r="U29" s="196">
        <f t="shared" si="28"/>
        <v>0</v>
      </c>
      <c r="V29" s="196">
        <f t="shared" si="28"/>
        <v>0</v>
      </c>
      <c r="W29" s="196">
        <f t="shared" si="28"/>
        <v>0</v>
      </c>
      <c r="X29" s="196">
        <f t="shared" si="28"/>
        <v>0</v>
      </c>
      <c r="Y29" s="196">
        <f t="shared" si="28"/>
        <v>0</v>
      </c>
      <c r="Z29" s="196">
        <f t="shared" si="28"/>
        <v>0</v>
      </c>
      <c r="AA29" s="196">
        <f t="shared" si="28"/>
        <v>0</v>
      </c>
      <c r="AB29" s="196">
        <f t="shared" si="28"/>
        <v>0</v>
      </c>
      <c r="AC29" s="196">
        <f t="shared" si="28"/>
        <v>0</v>
      </c>
      <c r="AD29" s="196">
        <f t="shared" si="28"/>
        <v>0</v>
      </c>
      <c r="AE29" s="196">
        <f t="shared" si="28"/>
        <v>0</v>
      </c>
      <c r="AF29" s="196">
        <f t="shared" si="28"/>
        <v>0</v>
      </c>
      <c r="AG29" s="196">
        <f t="shared" si="28"/>
        <v>0</v>
      </c>
      <c r="AH29" s="205"/>
      <c r="AI29" s="24"/>
    </row>
    <row r="30" spans="1:35" s="178" customFormat="1" ht="38.25" customHeight="1" x14ac:dyDescent="0.25">
      <c r="A30" s="523"/>
      <c r="B30" s="525" t="s">
        <v>315</v>
      </c>
      <c r="C30" s="290" t="s">
        <v>20</v>
      </c>
      <c r="D30" s="168">
        <f>D31</f>
        <v>1845.8999999999999</v>
      </c>
      <c r="E30" s="168">
        <f>E31</f>
        <v>1776.8</v>
      </c>
      <c r="F30" s="168">
        <f t="shared" ref="F30:G30" si="29">F31</f>
        <v>1776.8</v>
      </c>
      <c r="G30" s="168">
        <f t="shared" si="29"/>
        <v>1776.8</v>
      </c>
      <c r="H30" s="168">
        <f t="shared" ref="H30" si="30">IFERROR(G30/D30*100,0)</f>
        <v>96.256568611517423</v>
      </c>
      <c r="I30" s="169">
        <f t="shared" ref="I30" si="31">IFERROR(G30/E30*100,0)</f>
        <v>100</v>
      </c>
      <c r="J30" s="179">
        <f>J31</f>
        <v>0</v>
      </c>
      <c r="K30" s="179">
        <f t="shared" ref="K30:AG30" si="32">K31</f>
        <v>0</v>
      </c>
      <c r="L30" s="179">
        <f t="shared" si="32"/>
        <v>401.77</v>
      </c>
      <c r="M30" s="179">
        <f>M31</f>
        <v>401.77</v>
      </c>
      <c r="N30" s="179">
        <f t="shared" si="32"/>
        <v>1375.03</v>
      </c>
      <c r="O30" s="179">
        <f t="shared" si="32"/>
        <v>1375.03</v>
      </c>
      <c r="P30" s="179">
        <f t="shared" si="32"/>
        <v>0</v>
      </c>
      <c r="Q30" s="179">
        <f t="shared" si="32"/>
        <v>0</v>
      </c>
      <c r="R30" s="179">
        <f t="shared" si="32"/>
        <v>32.491</v>
      </c>
      <c r="S30" s="179">
        <f t="shared" si="32"/>
        <v>0</v>
      </c>
      <c r="T30" s="179">
        <f t="shared" si="32"/>
        <v>0</v>
      </c>
      <c r="U30" s="179">
        <f t="shared" si="32"/>
        <v>0</v>
      </c>
      <c r="V30" s="179">
        <f t="shared" si="32"/>
        <v>0</v>
      </c>
      <c r="W30" s="179">
        <f t="shared" si="32"/>
        <v>0</v>
      </c>
      <c r="X30" s="179">
        <f t="shared" si="32"/>
        <v>0</v>
      </c>
      <c r="Y30" s="179">
        <f t="shared" si="32"/>
        <v>0</v>
      </c>
      <c r="Z30" s="179">
        <f t="shared" si="32"/>
        <v>36.609000000000002</v>
      </c>
      <c r="AA30" s="179">
        <f t="shared" si="32"/>
        <v>0</v>
      </c>
      <c r="AB30" s="179">
        <f t="shared" si="32"/>
        <v>0</v>
      </c>
      <c r="AC30" s="179">
        <f t="shared" si="32"/>
        <v>0</v>
      </c>
      <c r="AD30" s="179">
        <f t="shared" si="32"/>
        <v>0</v>
      </c>
      <c r="AE30" s="179">
        <f t="shared" si="32"/>
        <v>0</v>
      </c>
      <c r="AF30" s="179">
        <f t="shared" si="32"/>
        <v>0</v>
      </c>
      <c r="AG30" s="179">
        <f t="shared" si="32"/>
        <v>0</v>
      </c>
      <c r="AH30" s="170"/>
      <c r="AI30" s="177"/>
    </row>
    <row r="31" spans="1:35" s="178" customFormat="1" ht="47.45" customHeight="1" x14ac:dyDescent="0.25">
      <c r="A31" s="524"/>
      <c r="B31" s="526"/>
      <c r="C31" s="291" t="s">
        <v>21</v>
      </c>
      <c r="D31" s="174">
        <f>SUM(J31,L31,N31,P31,R31,T31,V31,X31,Z31,AB31,AD31,AF31)</f>
        <v>1845.8999999999999</v>
      </c>
      <c r="E31" s="174">
        <f>J31+L31+N31</f>
        <v>1776.8</v>
      </c>
      <c r="F31" s="174">
        <f>G31</f>
        <v>1776.8</v>
      </c>
      <c r="G31" s="174">
        <f>SUM(K31,M31,O31,Q31,S31,U31,W31,Y31,AA31,AC31,AE31,AG31)</f>
        <v>1776.8</v>
      </c>
      <c r="H31" s="174">
        <f>IFERROR(G31/D31*100,0)</f>
        <v>96.256568611517423</v>
      </c>
      <c r="I31" s="175">
        <f>IFERROR(G31/E31*100,0)</f>
        <v>100</v>
      </c>
      <c r="J31" s="180">
        <v>0</v>
      </c>
      <c r="K31" s="180">
        <v>0</v>
      </c>
      <c r="L31" s="180">
        <v>401.77</v>
      </c>
      <c r="M31" s="180">
        <v>401.77</v>
      </c>
      <c r="N31" s="180">
        <v>1375.03</v>
      </c>
      <c r="O31" s="180">
        <v>1375.03</v>
      </c>
      <c r="P31" s="180">
        <v>0</v>
      </c>
      <c r="Q31" s="180">
        <v>0</v>
      </c>
      <c r="R31" s="180">
        <v>32.491</v>
      </c>
      <c r="S31" s="180">
        <v>0</v>
      </c>
      <c r="T31" s="180">
        <v>0</v>
      </c>
      <c r="U31" s="180">
        <v>0</v>
      </c>
      <c r="V31" s="180">
        <v>0</v>
      </c>
      <c r="W31" s="180">
        <v>0</v>
      </c>
      <c r="X31" s="180">
        <v>0</v>
      </c>
      <c r="Y31" s="180">
        <v>0</v>
      </c>
      <c r="Z31" s="180">
        <v>36.609000000000002</v>
      </c>
      <c r="AA31" s="180">
        <v>0</v>
      </c>
      <c r="AB31" s="180">
        <v>0</v>
      </c>
      <c r="AC31" s="180">
        <v>0</v>
      </c>
      <c r="AD31" s="180">
        <v>0</v>
      </c>
      <c r="AE31" s="180">
        <v>0</v>
      </c>
      <c r="AF31" s="180">
        <v>0</v>
      </c>
      <c r="AG31" s="180">
        <v>0</v>
      </c>
      <c r="AH31" s="170"/>
      <c r="AI31" s="177"/>
    </row>
    <row r="32" spans="1:35" s="178" customFormat="1" ht="30.75" customHeight="1" x14ac:dyDescent="0.25">
      <c r="A32" s="511"/>
      <c r="B32" s="513" t="s">
        <v>316</v>
      </c>
      <c r="C32" s="167" t="s">
        <v>20</v>
      </c>
      <c r="D32" s="168">
        <f>D33</f>
        <v>7926.2000000000007</v>
      </c>
      <c r="E32" s="168">
        <f>E33</f>
        <v>6534.2580000000007</v>
      </c>
      <c r="F32" s="168">
        <f t="shared" ref="F32:G32" si="33">F33</f>
        <v>6534.2580000000007</v>
      </c>
      <c r="G32" s="168">
        <f t="shared" si="33"/>
        <v>6534.2580000000007</v>
      </c>
      <c r="H32" s="169">
        <f t="shared" ref="H32" si="34">IFERROR(G32/D32*100,0)</f>
        <v>82.438722212409473</v>
      </c>
      <c r="I32" s="169">
        <f t="shared" ref="I32" si="35">IFERROR(G32/E32*100,0)</f>
        <v>100</v>
      </c>
      <c r="J32" s="179">
        <f>J33</f>
        <v>2992.1</v>
      </c>
      <c r="K32" s="179">
        <f t="shared" ref="K32:AG32" si="36">K33</f>
        <v>2992.1</v>
      </c>
      <c r="L32" s="179">
        <f t="shared" si="36"/>
        <v>1772.8580000000002</v>
      </c>
      <c r="M32" s="179">
        <f t="shared" si="36"/>
        <v>1772.8580000000002</v>
      </c>
      <c r="N32" s="179">
        <f t="shared" si="36"/>
        <v>1769.3</v>
      </c>
      <c r="O32" s="179">
        <f t="shared" si="36"/>
        <v>1769.3</v>
      </c>
      <c r="P32" s="179">
        <f t="shared" si="36"/>
        <v>59.4</v>
      </c>
      <c r="Q32" s="179">
        <f t="shared" si="36"/>
        <v>0</v>
      </c>
      <c r="R32" s="179">
        <f t="shared" si="36"/>
        <v>613.79999999999995</v>
      </c>
      <c r="S32" s="179">
        <f t="shared" si="36"/>
        <v>0</v>
      </c>
      <c r="T32" s="179">
        <f t="shared" si="36"/>
        <v>0</v>
      </c>
      <c r="U32" s="179">
        <f t="shared" si="36"/>
        <v>0</v>
      </c>
      <c r="V32" s="179">
        <f t="shared" si="36"/>
        <v>0</v>
      </c>
      <c r="W32" s="179">
        <f t="shared" si="36"/>
        <v>0</v>
      </c>
      <c r="X32" s="179">
        <f t="shared" si="36"/>
        <v>97.8</v>
      </c>
      <c r="Y32" s="179">
        <f t="shared" si="36"/>
        <v>0</v>
      </c>
      <c r="Z32" s="179">
        <f t="shared" si="36"/>
        <v>96.941999999999993</v>
      </c>
      <c r="AA32" s="179">
        <f t="shared" si="36"/>
        <v>0</v>
      </c>
      <c r="AB32" s="179">
        <f t="shared" si="36"/>
        <v>154.14999999999998</v>
      </c>
      <c r="AC32" s="179">
        <f t="shared" si="36"/>
        <v>0</v>
      </c>
      <c r="AD32" s="179">
        <f t="shared" si="36"/>
        <v>369.84999999999997</v>
      </c>
      <c r="AE32" s="179">
        <f t="shared" si="36"/>
        <v>0</v>
      </c>
      <c r="AF32" s="179">
        <f t="shared" si="36"/>
        <v>0</v>
      </c>
      <c r="AG32" s="179">
        <f t="shared" si="36"/>
        <v>0</v>
      </c>
      <c r="AH32" s="170"/>
      <c r="AI32" s="177"/>
    </row>
    <row r="33" spans="1:35" s="178" customFormat="1" ht="64.150000000000006" customHeight="1" x14ac:dyDescent="0.25">
      <c r="A33" s="512"/>
      <c r="B33" s="514"/>
      <c r="C33" s="173" t="s">
        <v>21</v>
      </c>
      <c r="D33" s="174">
        <f>SUM(J33,L33,N33,P33,R33,T33,V33,X33,Z33,AB33,AD33,AF33)</f>
        <v>7926.2000000000007</v>
      </c>
      <c r="E33" s="175">
        <f>J33+L33+N33</f>
        <v>6534.2580000000007</v>
      </c>
      <c r="F33" s="175">
        <f>G33</f>
        <v>6534.2580000000007</v>
      </c>
      <c r="G33" s="175">
        <f>SUM(K33,M33,O33,Q33,S33,U33,W33,Y33,AA33,AC33,AE33,AG33)</f>
        <v>6534.2580000000007</v>
      </c>
      <c r="H33" s="175">
        <f>IFERROR(G33/D33*100,0)</f>
        <v>82.438722212409473</v>
      </c>
      <c r="I33" s="175">
        <f>IFERROR(G33/E33*100,0)</f>
        <v>100</v>
      </c>
      <c r="J33" s="180">
        <f>J35+J37+J39+J41</f>
        <v>2992.1</v>
      </c>
      <c r="K33" s="180">
        <v>2992.1</v>
      </c>
      <c r="L33" s="180">
        <f t="shared" ref="L33:AG33" si="37">L35+L37+L39+L41</f>
        <v>1772.8580000000002</v>
      </c>
      <c r="M33" s="180">
        <f t="shared" si="37"/>
        <v>1772.8580000000002</v>
      </c>
      <c r="N33" s="180">
        <f t="shared" si="37"/>
        <v>1769.3</v>
      </c>
      <c r="O33" s="180">
        <f t="shared" si="37"/>
        <v>1769.3</v>
      </c>
      <c r="P33" s="180">
        <f t="shared" si="37"/>
        <v>59.4</v>
      </c>
      <c r="Q33" s="180">
        <f t="shared" si="37"/>
        <v>0</v>
      </c>
      <c r="R33" s="180">
        <f t="shared" si="37"/>
        <v>613.79999999999995</v>
      </c>
      <c r="S33" s="180">
        <f t="shared" si="37"/>
        <v>0</v>
      </c>
      <c r="T33" s="180">
        <f t="shared" si="37"/>
        <v>0</v>
      </c>
      <c r="U33" s="180">
        <f t="shared" si="37"/>
        <v>0</v>
      </c>
      <c r="V33" s="180">
        <f t="shared" si="37"/>
        <v>0</v>
      </c>
      <c r="W33" s="180">
        <f t="shared" si="37"/>
        <v>0</v>
      </c>
      <c r="X33" s="180">
        <f t="shared" si="37"/>
        <v>97.8</v>
      </c>
      <c r="Y33" s="180">
        <f t="shared" si="37"/>
        <v>0</v>
      </c>
      <c r="Z33" s="180">
        <f t="shared" si="37"/>
        <v>96.941999999999993</v>
      </c>
      <c r="AA33" s="180">
        <f t="shared" si="37"/>
        <v>0</v>
      </c>
      <c r="AB33" s="180">
        <f t="shared" si="37"/>
        <v>154.14999999999998</v>
      </c>
      <c r="AC33" s="180">
        <f t="shared" si="37"/>
        <v>0</v>
      </c>
      <c r="AD33" s="180">
        <f t="shared" si="37"/>
        <v>369.84999999999997</v>
      </c>
      <c r="AE33" s="180">
        <f t="shared" si="37"/>
        <v>0</v>
      </c>
      <c r="AF33" s="180">
        <f t="shared" si="37"/>
        <v>0</v>
      </c>
      <c r="AG33" s="180">
        <f t="shared" si="37"/>
        <v>0</v>
      </c>
      <c r="AH33" s="170"/>
      <c r="AI33" s="177"/>
    </row>
    <row r="34" spans="1:35" s="178" customFormat="1" ht="51" customHeight="1" x14ac:dyDescent="0.25">
      <c r="A34" s="392"/>
      <c r="B34" s="504" t="s">
        <v>317</v>
      </c>
      <c r="C34" s="126" t="s">
        <v>20</v>
      </c>
      <c r="D34" s="74">
        <f>D35</f>
        <v>4265.7</v>
      </c>
      <c r="E34" s="74">
        <f t="shared" ref="E34:G34" si="38">E35</f>
        <v>3538.7579999999998</v>
      </c>
      <c r="F34" s="74">
        <f t="shared" si="38"/>
        <v>3538.7579999999998</v>
      </c>
      <c r="G34" s="174">
        <f t="shared" si="38"/>
        <v>3538.7579999999998</v>
      </c>
      <c r="H34" s="175">
        <f t="shared" ref="H34" si="39">IFERROR(G34/D34*100,0)</f>
        <v>82.958435895632604</v>
      </c>
      <c r="I34" s="175">
        <f t="shared" ref="I34" si="40">IFERROR(G34/E34*100,0)</f>
        <v>100</v>
      </c>
      <c r="J34" s="180">
        <f>J35</f>
        <v>0</v>
      </c>
      <c r="K34" s="180">
        <f t="shared" ref="K34:AG34" si="41">K35</f>
        <v>0</v>
      </c>
      <c r="L34" s="180">
        <f t="shared" si="41"/>
        <v>1769.4580000000001</v>
      </c>
      <c r="M34" s="180">
        <f t="shared" si="41"/>
        <v>1769.4580000000001</v>
      </c>
      <c r="N34" s="180">
        <f t="shared" si="41"/>
        <v>1769.3</v>
      </c>
      <c r="O34" s="180">
        <f t="shared" si="41"/>
        <v>1769.3</v>
      </c>
      <c r="P34" s="180">
        <f t="shared" si="41"/>
        <v>59.4</v>
      </c>
      <c r="Q34" s="180">
        <f t="shared" si="41"/>
        <v>0</v>
      </c>
      <c r="R34" s="180">
        <f t="shared" si="41"/>
        <v>13.8</v>
      </c>
      <c r="S34" s="180">
        <f t="shared" si="41"/>
        <v>0</v>
      </c>
      <c r="T34" s="180">
        <f t="shared" si="41"/>
        <v>0</v>
      </c>
      <c r="U34" s="180">
        <f t="shared" si="41"/>
        <v>0</v>
      </c>
      <c r="V34" s="180">
        <f t="shared" si="41"/>
        <v>0</v>
      </c>
      <c r="W34" s="180">
        <f t="shared" si="41"/>
        <v>0</v>
      </c>
      <c r="X34" s="180">
        <f t="shared" si="41"/>
        <v>97.8</v>
      </c>
      <c r="Y34" s="180">
        <f t="shared" si="41"/>
        <v>0</v>
      </c>
      <c r="Z34" s="180">
        <f t="shared" si="41"/>
        <v>96.941999999999993</v>
      </c>
      <c r="AA34" s="180">
        <f t="shared" si="41"/>
        <v>0</v>
      </c>
      <c r="AB34" s="180">
        <f t="shared" si="41"/>
        <v>104.6</v>
      </c>
      <c r="AC34" s="180">
        <f t="shared" si="41"/>
        <v>0</v>
      </c>
      <c r="AD34" s="180">
        <f t="shared" si="41"/>
        <v>354.4</v>
      </c>
      <c r="AE34" s="180">
        <f t="shared" si="41"/>
        <v>0</v>
      </c>
      <c r="AF34" s="180">
        <f t="shared" si="41"/>
        <v>0</v>
      </c>
      <c r="AG34" s="180">
        <f t="shared" si="41"/>
        <v>0</v>
      </c>
      <c r="AH34" s="176"/>
      <c r="AI34" s="177"/>
    </row>
    <row r="35" spans="1:35" s="178" customFormat="1" ht="59.45" customHeight="1" x14ac:dyDescent="0.25">
      <c r="A35" s="393"/>
      <c r="B35" s="505"/>
      <c r="C35" s="126" t="s">
        <v>21</v>
      </c>
      <c r="D35" s="74">
        <f>SUM(J35,L35,N35,P35,R35,T35,V35,X35,Z35,AB35,AD35,AF35)</f>
        <v>4265.7</v>
      </c>
      <c r="E35" s="62">
        <f>J35+L35+N35</f>
        <v>3538.7579999999998</v>
      </c>
      <c r="F35" s="62">
        <f>G35</f>
        <v>3538.7579999999998</v>
      </c>
      <c r="G35" s="175">
        <f>SUM(K35,M35,O35,Q35,S35,U35,W35,Y35,AA35,AC35,AE35,AG35)</f>
        <v>3538.7579999999998</v>
      </c>
      <c r="H35" s="175">
        <f>IFERROR(G35/D35*100,0)</f>
        <v>82.958435895632604</v>
      </c>
      <c r="I35" s="175">
        <f>IFERROR(G35/E35*100,0)</f>
        <v>100</v>
      </c>
      <c r="J35" s="180">
        <v>0</v>
      </c>
      <c r="K35" s="180">
        <v>0</v>
      </c>
      <c r="L35" s="180">
        <v>1769.4580000000001</v>
      </c>
      <c r="M35" s="180">
        <v>1769.4580000000001</v>
      </c>
      <c r="N35" s="180">
        <v>1769.3</v>
      </c>
      <c r="O35" s="180">
        <v>1769.3</v>
      </c>
      <c r="P35" s="180">
        <v>59.4</v>
      </c>
      <c r="Q35" s="180">
        <v>0</v>
      </c>
      <c r="R35" s="180">
        <v>13.8</v>
      </c>
      <c r="S35" s="180">
        <v>0</v>
      </c>
      <c r="T35" s="180">
        <v>0</v>
      </c>
      <c r="U35" s="180">
        <v>0</v>
      </c>
      <c r="V35" s="180">
        <v>0</v>
      </c>
      <c r="W35" s="180">
        <v>0</v>
      </c>
      <c r="X35" s="180">
        <v>97.8</v>
      </c>
      <c r="Y35" s="180">
        <v>0</v>
      </c>
      <c r="Z35" s="180">
        <v>96.941999999999993</v>
      </c>
      <c r="AA35" s="180">
        <v>0</v>
      </c>
      <c r="AB35" s="180">
        <v>104.6</v>
      </c>
      <c r="AC35" s="180">
        <v>0</v>
      </c>
      <c r="AD35" s="180">
        <v>354.4</v>
      </c>
      <c r="AE35" s="180">
        <v>0</v>
      </c>
      <c r="AF35" s="180">
        <v>0</v>
      </c>
      <c r="AG35" s="180">
        <v>0</v>
      </c>
      <c r="AH35" s="176"/>
      <c r="AI35" s="177"/>
    </row>
    <row r="36" spans="1:35" s="178" customFormat="1" ht="27" customHeight="1" x14ac:dyDescent="0.25">
      <c r="A36" s="181"/>
      <c r="B36" s="506" t="s">
        <v>318</v>
      </c>
      <c r="C36" s="173" t="s">
        <v>20</v>
      </c>
      <c r="D36" s="174">
        <f t="shared" ref="D36:E36" si="42">D37</f>
        <v>600</v>
      </c>
      <c r="E36" s="175">
        <f t="shared" si="42"/>
        <v>0</v>
      </c>
      <c r="F36" s="175">
        <f t="shared" ref="F36:F39" si="43">G36</f>
        <v>0</v>
      </c>
      <c r="G36" s="175">
        <f>G37</f>
        <v>0</v>
      </c>
      <c r="H36" s="175">
        <f t="shared" ref="H36:H40" si="44">IFERROR(G36/D36*100,0)</f>
        <v>0</v>
      </c>
      <c r="I36" s="175">
        <f t="shared" ref="I36:I40" si="45">IFERROR(G36/E36*100,0)</f>
        <v>0</v>
      </c>
      <c r="J36" s="175">
        <f t="shared" ref="J36:AG36" si="46">J37</f>
        <v>0</v>
      </c>
      <c r="K36" s="175">
        <f t="shared" si="46"/>
        <v>0</v>
      </c>
      <c r="L36" s="175">
        <f t="shared" si="46"/>
        <v>0</v>
      </c>
      <c r="M36" s="175">
        <f t="shared" si="46"/>
        <v>0</v>
      </c>
      <c r="N36" s="175">
        <f t="shared" si="46"/>
        <v>0</v>
      </c>
      <c r="O36" s="175">
        <f t="shared" si="46"/>
        <v>0</v>
      </c>
      <c r="P36" s="175">
        <f t="shared" si="46"/>
        <v>0</v>
      </c>
      <c r="Q36" s="175">
        <f t="shared" si="46"/>
        <v>0</v>
      </c>
      <c r="R36" s="175">
        <f t="shared" si="46"/>
        <v>600</v>
      </c>
      <c r="S36" s="175">
        <f t="shared" si="46"/>
        <v>0</v>
      </c>
      <c r="T36" s="175">
        <f t="shared" si="46"/>
        <v>0</v>
      </c>
      <c r="U36" s="175">
        <f t="shared" si="46"/>
        <v>0</v>
      </c>
      <c r="V36" s="175">
        <f t="shared" si="46"/>
        <v>0</v>
      </c>
      <c r="W36" s="175">
        <f t="shared" si="46"/>
        <v>0</v>
      </c>
      <c r="X36" s="175">
        <f t="shared" si="46"/>
        <v>0</v>
      </c>
      <c r="Y36" s="175">
        <f t="shared" si="46"/>
        <v>0</v>
      </c>
      <c r="Z36" s="175">
        <f t="shared" si="46"/>
        <v>0</v>
      </c>
      <c r="AA36" s="175">
        <f t="shared" si="46"/>
        <v>0</v>
      </c>
      <c r="AB36" s="175">
        <f t="shared" si="46"/>
        <v>0</v>
      </c>
      <c r="AC36" s="175">
        <f t="shared" si="46"/>
        <v>0</v>
      </c>
      <c r="AD36" s="175">
        <f t="shared" si="46"/>
        <v>0</v>
      </c>
      <c r="AE36" s="175">
        <f t="shared" si="46"/>
        <v>0</v>
      </c>
      <c r="AF36" s="175">
        <f t="shared" si="46"/>
        <v>0</v>
      </c>
      <c r="AG36" s="175">
        <f t="shared" si="46"/>
        <v>0</v>
      </c>
      <c r="AH36" s="176"/>
      <c r="AI36" s="177"/>
    </row>
    <row r="37" spans="1:35" s="178" customFormat="1" ht="32.450000000000003" customHeight="1" x14ac:dyDescent="0.25">
      <c r="A37" s="181"/>
      <c r="B37" s="506"/>
      <c r="C37" s="173" t="s">
        <v>21</v>
      </c>
      <c r="D37" s="174">
        <f t="shared" ref="D37" si="47">SUM(J37,L37,N37,P37,R37,T37,V37,X37,Z37,AB37,AD37,AF37)</f>
        <v>600</v>
      </c>
      <c r="E37" s="175">
        <f t="shared" ref="E37" si="48">J37</f>
        <v>0</v>
      </c>
      <c r="F37" s="175">
        <f t="shared" si="43"/>
        <v>0</v>
      </c>
      <c r="G37" s="175">
        <f t="shared" ref="G37" si="49">SUM(K37,M37,O37,Q37,S37,U37,W37,Y37,AA37,AC37,AE37,AG37)</f>
        <v>0</v>
      </c>
      <c r="H37" s="175">
        <f t="shared" si="44"/>
        <v>0</v>
      </c>
      <c r="I37" s="175">
        <f t="shared" si="45"/>
        <v>0</v>
      </c>
      <c r="J37" s="180">
        <v>0</v>
      </c>
      <c r="K37" s="180">
        <v>0</v>
      </c>
      <c r="L37" s="180">
        <v>0</v>
      </c>
      <c r="M37" s="180">
        <v>0</v>
      </c>
      <c r="N37" s="180">
        <v>0</v>
      </c>
      <c r="O37" s="180">
        <v>0</v>
      </c>
      <c r="P37" s="180">
        <v>0</v>
      </c>
      <c r="Q37" s="180">
        <v>0</v>
      </c>
      <c r="R37" s="180">
        <v>600</v>
      </c>
      <c r="S37" s="180">
        <v>0</v>
      </c>
      <c r="T37" s="180">
        <v>0</v>
      </c>
      <c r="U37" s="180">
        <v>0</v>
      </c>
      <c r="V37" s="180">
        <v>0</v>
      </c>
      <c r="W37" s="180">
        <v>0</v>
      </c>
      <c r="X37" s="180">
        <v>0</v>
      </c>
      <c r="Y37" s="180">
        <v>0</v>
      </c>
      <c r="Z37" s="180">
        <v>0</v>
      </c>
      <c r="AA37" s="180">
        <v>0</v>
      </c>
      <c r="AB37" s="180">
        <v>0</v>
      </c>
      <c r="AC37" s="180">
        <v>0</v>
      </c>
      <c r="AD37" s="180">
        <v>0</v>
      </c>
      <c r="AE37" s="180">
        <v>0</v>
      </c>
      <c r="AF37" s="180">
        <v>0</v>
      </c>
      <c r="AG37" s="180">
        <v>0</v>
      </c>
      <c r="AH37" s="176"/>
      <c r="AI37" s="177"/>
    </row>
    <row r="38" spans="1:35" s="178" customFormat="1" ht="55.5" customHeight="1" x14ac:dyDescent="0.25">
      <c r="A38" s="181"/>
      <c r="B38" s="506" t="s">
        <v>319</v>
      </c>
      <c r="C38" s="173" t="s">
        <v>20</v>
      </c>
      <c r="D38" s="174">
        <f t="shared" ref="D38:E38" si="50">D39</f>
        <v>68.399999999999991</v>
      </c>
      <c r="E38" s="175">
        <f t="shared" si="50"/>
        <v>0</v>
      </c>
      <c r="F38" s="175">
        <f t="shared" si="43"/>
        <v>3.4</v>
      </c>
      <c r="G38" s="175">
        <f>G39</f>
        <v>3.4</v>
      </c>
      <c r="H38" s="175">
        <f t="shared" si="44"/>
        <v>4.9707602339181287</v>
      </c>
      <c r="I38" s="175">
        <f t="shared" si="45"/>
        <v>0</v>
      </c>
      <c r="J38" s="175">
        <f t="shared" ref="J38:AG38" si="51">J39</f>
        <v>0</v>
      </c>
      <c r="K38" s="175">
        <f t="shared" si="51"/>
        <v>0</v>
      </c>
      <c r="L38" s="175">
        <f t="shared" si="51"/>
        <v>3.4</v>
      </c>
      <c r="M38" s="175">
        <f t="shared" si="51"/>
        <v>3.4</v>
      </c>
      <c r="N38" s="175">
        <f t="shared" si="51"/>
        <v>0</v>
      </c>
      <c r="O38" s="175">
        <f t="shared" si="51"/>
        <v>0</v>
      </c>
      <c r="P38" s="175">
        <f t="shared" si="51"/>
        <v>0</v>
      </c>
      <c r="Q38" s="175">
        <f t="shared" si="51"/>
        <v>0</v>
      </c>
      <c r="R38" s="175">
        <f t="shared" si="51"/>
        <v>0</v>
      </c>
      <c r="S38" s="175">
        <f t="shared" si="51"/>
        <v>0</v>
      </c>
      <c r="T38" s="175">
        <f t="shared" si="51"/>
        <v>0</v>
      </c>
      <c r="U38" s="175">
        <f t="shared" si="51"/>
        <v>0</v>
      </c>
      <c r="V38" s="175">
        <f t="shared" si="51"/>
        <v>0</v>
      </c>
      <c r="W38" s="175">
        <f t="shared" si="51"/>
        <v>0</v>
      </c>
      <c r="X38" s="175">
        <f t="shared" si="51"/>
        <v>0</v>
      </c>
      <c r="Y38" s="175">
        <f t="shared" si="51"/>
        <v>0</v>
      </c>
      <c r="Z38" s="175">
        <f t="shared" si="51"/>
        <v>0</v>
      </c>
      <c r="AA38" s="175">
        <f t="shared" si="51"/>
        <v>0</v>
      </c>
      <c r="AB38" s="175">
        <f t="shared" si="51"/>
        <v>49.55</v>
      </c>
      <c r="AC38" s="175">
        <f t="shared" si="51"/>
        <v>0</v>
      </c>
      <c r="AD38" s="175">
        <f t="shared" si="51"/>
        <v>15.45</v>
      </c>
      <c r="AE38" s="175">
        <f t="shared" si="51"/>
        <v>0</v>
      </c>
      <c r="AF38" s="175">
        <f t="shared" si="51"/>
        <v>0</v>
      </c>
      <c r="AG38" s="175">
        <f t="shared" si="51"/>
        <v>0</v>
      </c>
      <c r="AH38" s="176"/>
      <c r="AI38" s="177"/>
    </row>
    <row r="39" spans="1:35" s="178" customFormat="1" ht="37.9" customHeight="1" x14ac:dyDescent="0.25">
      <c r="A39" s="181"/>
      <c r="B39" s="506"/>
      <c r="C39" s="173" t="s">
        <v>21</v>
      </c>
      <c r="D39" s="174">
        <f t="shared" ref="D39" si="52">SUM(J39,L39,N39,P39,R39,T39,V39,X39,Z39,AB39,AD39,AF39)</f>
        <v>68.399999999999991</v>
      </c>
      <c r="E39" s="175">
        <f t="shared" ref="E39" si="53">J39</f>
        <v>0</v>
      </c>
      <c r="F39" s="175">
        <f t="shared" si="43"/>
        <v>3.4</v>
      </c>
      <c r="G39" s="175">
        <f t="shared" ref="G39" si="54">SUM(K39,M39,O39,Q39,S39,U39,W39,Y39,AA39,AC39,AE39,AG39)</f>
        <v>3.4</v>
      </c>
      <c r="H39" s="175">
        <f t="shared" si="44"/>
        <v>4.9707602339181287</v>
      </c>
      <c r="I39" s="175">
        <f t="shared" si="45"/>
        <v>0</v>
      </c>
      <c r="J39" s="180">
        <v>0</v>
      </c>
      <c r="K39" s="180">
        <v>0</v>
      </c>
      <c r="L39" s="180">
        <v>3.4</v>
      </c>
      <c r="M39" s="180">
        <v>3.4</v>
      </c>
      <c r="N39" s="180">
        <v>0</v>
      </c>
      <c r="O39" s="180">
        <v>0</v>
      </c>
      <c r="P39" s="180">
        <v>0</v>
      </c>
      <c r="Q39" s="180">
        <v>0</v>
      </c>
      <c r="R39" s="180">
        <v>0</v>
      </c>
      <c r="S39" s="180">
        <v>0</v>
      </c>
      <c r="T39" s="180">
        <v>0</v>
      </c>
      <c r="U39" s="180">
        <v>0</v>
      </c>
      <c r="V39" s="180">
        <v>0</v>
      </c>
      <c r="W39" s="180">
        <v>0</v>
      </c>
      <c r="X39" s="180">
        <v>0</v>
      </c>
      <c r="Y39" s="180">
        <v>0</v>
      </c>
      <c r="Z39" s="180">
        <v>0</v>
      </c>
      <c r="AA39" s="180">
        <v>0</v>
      </c>
      <c r="AB39" s="180">
        <v>49.55</v>
      </c>
      <c r="AC39" s="180">
        <v>0</v>
      </c>
      <c r="AD39" s="180">
        <v>15.45</v>
      </c>
      <c r="AE39" s="180">
        <v>0</v>
      </c>
      <c r="AF39" s="180">
        <v>0</v>
      </c>
      <c r="AG39" s="180">
        <v>0</v>
      </c>
      <c r="AH39" s="176"/>
      <c r="AI39" s="177"/>
    </row>
    <row r="40" spans="1:35" s="178" customFormat="1" ht="60" customHeight="1" x14ac:dyDescent="0.25">
      <c r="A40" s="507"/>
      <c r="B40" s="509" t="s">
        <v>320</v>
      </c>
      <c r="C40" s="173" t="s">
        <v>20</v>
      </c>
      <c r="D40" s="174">
        <f>D41</f>
        <v>2992.1</v>
      </c>
      <c r="E40" s="174">
        <f t="shared" ref="E40:G40" si="55">E41</f>
        <v>2992.1</v>
      </c>
      <c r="F40" s="174">
        <f t="shared" si="55"/>
        <v>2992.1</v>
      </c>
      <c r="G40" s="174">
        <f t="shared" si="55"/>
        <v>2992.1</v>
      </c>
      <c r="H40" s="175">
        <f t="shared" si="44"/>
        <v>100</v>
      </c>
      <c r="I40" s="175">
        <f t="shared" si="45"/>
        <v>100</v>
      </c>
      <c r="J40" s="180">
        <f t="shared" ref="J40:AF40" si="56">J41</f>
        <v>2992.1</v>
      </c>
      <c r="K40" s="180">
        <v>2992.1</v>
      </c>
      <c r="L40" s="180">
        <f t="shared" si="56"/>
        <v>0</v>
      </c>
      <c r="M40" s="180">
        <f t="shared" si="56"/>
        <v>0</v>
      </c>
      <c r="N40" s="180">
        <f t="shared" si="56"/>
        <v>0</v>
      </c>
      <c r="O40" s="180">
        <f t="shared" si="56"/>
        <v>0</v>
      </c>
      <c r="P40" s="180">
        <f t="shared" si="56"/>
        <v>0</v>
      </c>
      <c r="Q40" s="180">
        <f t="shared" si="56"/>
        <v>0</v>
      </c>
      <c r="R40" s="180">
        <f t="shared" si="56"/>
        <v>0</v>
      </c>
      <c r="S40" s="180">
        <f t="shared" si="56"/>
        <v>0</v>
      </c>
      <c r="T40" s="180">
        <f t="shared" si="56"/>
        <v>0</v>
      </c>
      <c r="U40" s="180">
        <f t="shared" si="56"/>
        <v>0</v>
      </c>
      <c r="V40" s="180">
        <f t="shared" si="56"/>
        <v>0</v>
      </c>
      <c r="W40" s="180">
        <f t="shared" si="56"/>
        <v>0</v>
      </c>
      <c r="X40" s="180">
        <f t="shared" si="56"/>
        <v>0</v>
      </c>
      <c r="Y40" s="180">
        <f t="shared" si="56"/>
        <v>0</v>
      </c>
      <c r="Z40" s="180">
        <f t="shared" si="56"/>
        <v>0</v>
      </c>
      <c r="AA40" s="180">
        <f t="shared" si="56"/>
        <v>0</v>
      </c>
      <c r="AB40" s="180">
        <f t="shared" si="56"/>
        <v>0</v>
      </c>
      <c r="AC40" s="180">
        <f t="shared" si="56"/>
        <v>0</v>
      </c>
      <c r="AD40" s="180">
        <f t="shared" si="56"/>
        <v>0</v>
      </c>
      <c r="AE40" s="180">
        <f t="shared" si="56"/>
        <v>0</v>
      </c>
      <c r="AF40" s="180">
        <f t="shared" si="56"/>
        <v>0</v>
      </c>
      <c r="AG40" s="180">
        <f>AG41</f>
        <v>0</v>
      </c>
      <c r="AH40" s="176"/>
      <c r="AI40" s="177"/>
    </row>
    <row r="41" spans="1:35" s="178" customFormat="1" ht="87" customHeight="1" x14ac:dyDescent="0.25">
      <c r="A41" s="508"/>
      <c r="B41" s="510"/>
      <c r="C41" s="173" t="s">
        <v>21</v>
      </c>
      <c r="D41" s="174">
        <f>SUM(J41,L41,N41,P41,R41,T41,V41,X41,Z41,AB41,AD41,AF41)</f>
        <v>2992.1</v>
      </c>
      <c r="E41" s="175">
        <f>J41+L41</f>
        <v>2992.1</v>
      </c>
      <c r="F41" s="175">
        <f>G41</f>
        <v>2992.1</v>
      </c>
      <c r="G41" s="175">
        <f>SUM(K41,M41,O41,Q41,S41,U41,W41,Y41,AA41,AC41,AE41,AG41)</f>
        <v>2992.1</v>
      </c>
      <c r="H41" s="175">
        <f>IFERROR(G41/D41*100,0)</f>
        <v>100</v>
      </c>
      <c r="I41" s="175">
        <f>IFERROR(G41/E41*100,0)</f>
        <v>100</v>
      </c>
      <c r="J41" s="180">
        <v>2992.1</v>
      </c>
      <c r="K41" s="180">
        <v>2992.1</v>
      </c>
      <c r="L41" s="180">
        <v>0</v>
      </c>
      <c r="M41" s="180">
        <v>0</v>
      </c>
      <c r="N41" s="180">
        <v>0</v>
      </c>
      <c r="O41" s="180">
        <v>0</v>
      </c>
      <c r="P41" s="180">
        <v>0</v>
      </c>
      <c r="Q41" s="180">
        <v>0</v>
      </c>
      <c r="R41" s="180">
        <v>0</v>
      </c>
      <c r="S41" s="180">
        <v>0</v>
      </c>
      <c r="T41" s="180">
        <v>0</v>
      </c>
      <c r="U41" s="180">
        <v>0</v>
      </c>
      <c r="V41" s="180">
        <v>0</v>
      </c>
      <c r="W41" s="180">
        <v>0</v>
      </c>
      <c r="X41" s="180">
        <v>0</v>
      </c>
      <c r="Y41" s="180">
        <v>0</v>
      </c>
      <c r="Z41" s="180">
        <v>0</v>
      </c>
      <c r="AA41" s="180">
        <v>0</v>
      </c>
      <c r="AB41" s="180">
        <v>0</v>
      </c>
      <c r="AC41" s="180">
        <v>0</v>
      </c>
      <c r="AD41" s="180">
        <v>0</v>
      </c>
      <c r="AE41" s="180">
        <v>0</v>
      </c>
      <c r="AF41" s="180">
        <v>0</v>
      </c>
      <c r="AG41" s="180">
        <v>0</v>
      </c>
      <c r="AH41" s="176" t="s">
        <v>329</v>
      </c>
      <c r="AI41" s="177"/>
    </row>
    <row r="42" spans="1:35" s="22" customFormat="1" ht="38.25" customHeight="1" x14ac:dyDescent="0.25">
      <c r="A42" s="373"/>
      <c r="B42" s="500" t="s">
        <v>321</v>
      </c>
      <c r="C42" s="125" t="s">
        <v>20</v>
      </c>
      <c r="D42" s="70">
        <f>D44+D43</f>
        <v>52084.904999999999</v>
      </c>
      <c r="E42" s="70">
        <f>E44+E43</f>
        <v>16823.23</v>
      </c>
      <c r="F42" s="70">
        <f>F44+F43</f>
        <v>15085.278999999999</v>
      </c>
      <c r="G42" s="70">
        <f t="shared" ref="G42" si="57">G44+G43</f>
        <v>15085.278999999999</v>
      </c>
      <c r="H42" s="58">
        <f t="shared" ref="H42" si="58">IFERROR(G42/D42*100,0)</f>
        <v>28.962861696685437</v>
      </c>
      <c r="I42" s="58">
        <f t="shared" ref="I42" si="59">IFERROR(G42/E42*100,0)</f>
        <v>89.669338171088413</v>
      </c>
      <c r="J42" s="59">
        <f>J44+J43</f>
        <v>4664.6209999999992</v>
      </c>
      <c r="K42" s="59">
        <f t="shared" ref="K42:AF42" si="60">K44+K43</f>
        <v>3338.77</v>
      </c>
      <c r="L42" s="59">
        <f t="shared" si="60"/>
        <v>6305.8360000000002</v>
      </c>
      <c r="M42" s="59">
        <f t="shared" si="60"/>
        <v>5893.7359999999999</v>
      </c>
      <c r="N42" s="59">
        <f t="shared" si="60"/>
        <v>5852.7730000000001</v>
      </c>
      <c r="O42" s="59">
        <f t="shared" si="60"/>
        <v>5852.7730000000001</v>
      </c>
      <c r="P42" s="59">
        <f t="shared" si="60"/>
        <v>6281.32</v>
      </c>
      <c r="Q42" s="59">
        <f t="shared" si="60"/>
        <v>0</v>
      </c>
      <c r="R42" s="59">
        <f t="shared" si="60"/>
        <v>4428.3670000000002</v>
      </c>
      <c r="S42" s="59">
        <f t="shared" si="60"/>
        <v>0</v>
      </c>
      <c r="T42" s="59">
        <f t="shared" si="60"/>
        <v>3618.4229999999998</v>
      </c>
      <c r="U42" s="59">
        <f t="shared" si="60"/>
        <v>0</v>
      </c>
      <c r="V42" s="59">
        <f t="shared" si="60"/>
        <v>4421.3829999999998</v>
      </c>
      <c r="W42" s="59">
        <f t="shared" si="60"/>
        <v>0</v>
      </c>
      <c r="X42" s="59">
        <f t="shared" si="60"/>
        <v>3624.9340000000002</v>
      </c>
      <c r="Y42" s="59">
        <f t="shared" si="60"/>
        <v>0</v>
      </c>
      <c r="Z42" s="59">
        <f t="shared" si="60"/>
        <v>3183.7</v>
      </c>
      <c r="AA42" s="59">
        <f t="shared" si="60"/>
        <v>0</v>
      </c>
      <c r="AB42" s="59">
        <f t="shared" si="60"/>
        <v>3970.3620000000001</v>
      </c>
      <c r="AC42" s="59">
        <f t="shared" si="60"/>
        <v>0</v>
      </c>
      <c r="AD42" s="59">
        <f t="shared" si="60"/>
        <v>3402.46</v>
      </c>
      <c r="AE42" s="59">
        <f t="shared" si="60"/>
        <v>0</v>
      </c>
      <c r="AF42" s="59">
        <f t="shared" si="60"/>
        <v>2330.7260000000001</v>
      </c>
      <c r="AG42" s="59">
        <f>AG44+AG43</f>
        <v>0</v>
      </c>
      <c r="AH42" s="60"/>
      <c r="AI42" s="20"/>
    </row>
    <row r="43" spans="1:35" s="22" customFormat="1" ht="38.25" customHeight="1" x14ac:dyDescent="0.25">
      <c r="A43" s="374"/>
      <c r="B43" s="501"/>
      <c r="C43" s="126" t="s">
        <v>21</v>
      </c>
      <c r="D43" s="74">
        <f>SUM(J43,L43,N43,P43,R43,T43,V43,X43,Z43,AB43,AD43,AF43)</f>
        <v>51656.904999999999</v>
      </c>
      <c r="E43" s="62">
        <f>J43+L43+N43</f>
        <v>16395.23</v>
      </c>
      <c r="F43" s="62">
        <f>K43+M43+O43</f>
        <v>15085.278999999999</v>
      </c>
      <c r="G43" s="62">
        <f>SUM(K43,M43,O43,Q43,S43,U43,W43,Y43,AA43,AC43,AE43,AG43)</f>
        <v>15085.278999999999</v>
      </c>
      <c r="H43" s="62">
        <f>IFERROR(G43/D43*100,0)</f>
        <v>29.202831644675577</v>
      </c>
      <c r="I43" s="62">
        <f>IFERROR(G43/E43*100,0)</f>
        <v>92.010170031161493</v>
      </c>
      <c r="J43" s="63">
        <v>4648.7209999999995</v>
      </c>
      <c r="K43" s="63">
        <v>3338.77</v>
      </c>
      <c r="L43" s="63">
        <v>5893.7359999999999</v>
      </c>
      <c r="M43" s="63">
        <v>5893.7359999999999</v>
      </c>
      <c r="N43" s="63">
        <v>5852.7730000000001</v>
      </c>
      <c r="O43" s="63">
        <v>5852.7730000000001</v>
      </c>
      <c r="P43" s="63">
        <v>6281.32</v>
      </c>
      <c r="Q43" s="63">
        <v>0</v>
      </c>
      <c r="R43" s="63">
        <v>4428.3670000000002</v>
      </c>
      <c r="S43" s="63">
        <v>0</v>
      </c>
      <c r="T43" s="63">
        <v>3618.4229999999998</v>
      </c>
      <c r="U43" s="63">
        <v>0</v>
      </c>
      <c r="V43" s="63">
        <v>4421.3829999999998</v>
      </c>
      <c r="W43" s="63">
        <v>0</v>
      </c>
      <c r="X43" s="63">
        <v>3624.9340000000002</v>
      </c>
      <c r="Y43" s="63">
        <v>0</v>
      </c>
      <c r="Z43" s="63">
        <v>3183.7</v>
      </c>
      <c r="AA43" s="63">
        <v>0</v>
      </c>
      <c r="AB43" s="63">
        <v>3970.3620000000001</v>
      </c>
      <c r="AC43" s="63">
        <v>0</v>
      </c>
      <c r="AD43" s="63">
        <v>3402.46</v>
      </c>
      <c r="AE43" s="63">
        <v>0</v>
      </c>
      <c r="AF43" s="63">
        <v>2330.7260000000001</v>
      </c>
      <c r="AG43" s="63">
        <v>0</v>
      </c>
      <c r="AH43" s="300" t="s">
        <v>346</v>
      </c>
      <c r="AI43" s="20"/>
    </row>
    <row r="44" spans="1:35" s="22" customFormat="1" ht="45.75" customHeight="1" x14ac:dyDescent="0.25">
      <c r="A44" s="375"/>
      <c r="B44" s="501"/>
      <c r="C44" s="126" t="s">
        <v>114</v>
      </c>
      <c r="D44" s="62">
        <v>428</v>
      </c>
      <c r="E44" s="62">
        <f>J44+L44</f>
        <v>428</v>
      </c>
      <c r="F44" s="62">
        <f>G44</f>
        <v>0</v>
      </c>
      <c r="G44" s="62">
        <f>SUM(K44,M44,O44,Q44,S44,U44,W44,Y44,AA44,AC44,AE44,AG44)</f>
        <v>0</v>
      </c>
      <c r="H44" s="62">
        <f>IFERROR(G44/D44*100,0)</f>
        <v>0</v>
      </c>
      <c r="I44" s="62">
        <f>IFERROR(G44/E44*100,0)</f>
        <v>0</v>
      </c>
      <c r="J44" s="63">
        <v>15.9</v>
      </c>
      <c r="K44" s="63">
        <v>0</v>
      </c>
      <c r="L44" s="63">
        <v>412.1</v>
      </c>
      <c r="M44" s="63">
        <v>0</v>
      </c>
      <c r="N44" s="63">
        <v>0</v>
      </c>
      <c r="O44" s="63">
        <v>0</v>
      </c>
      <c r="P44" s="63">
        <v>0</v>
      </c>
      <c r="Q44" s="63">
        <v>0</v>
      </c>
      <c r="R44" s="63">
        <v>0</v>
      </c>
      <c r="S44" s="63">
        <v>0</v>
      </c>
      <c r="T44" s="63">
        <v>0</v>
      </c>
      <c r="U44" s="63">
        <v>0</v>
      </c>
      <c r="V44" s="63">
        <v>0</v>
      </c>
      <c r="W44" s="63">
        <v>0</v>
      </c>
      <c r="X44" s="63">
        <v>0</v>
      </c>
      <c r="Y44" s="63">
        <v>0</v>
      </c>
      <c r="Z44" s="63">
        <v>0</v>
      </c>
      <c r="AA44" s="63">
        <v>0</v>
      </c>
      <c r="AB44" s="63">
        <v>0</v>
      </c>
      <c r="AC44" s="63">
        <v>0</v>
      </c>
      <c r="AD44" s="63">
        <v>0</v>
      </c>
      <c r="AE44" s="63">
        <v>0</v>
      </c>
      <c r="AF44" s="63">
        <v>0</v>
      </c>
      <c r="AG44" s="63">
        <v>0</v>
      </c>
      <c r="AH44" s="60"/>
      <c r="AI44" s="20"/>
    </row>
    <row r="45" spans="1:35" s="22" customFormat="1" ht="30.75" customHeight="1" x14ac:dyDescent="0.25">
      <c r="A45" s="379"/>
      <c r="B45" s="502" t="s">
        <v>322</v>
      </c>
      <c r="C45" s="186" t="s">
        <v>20</v>
      </c>
      <c r="D45" s="187">
        <f>D46</f>
        <v>594.99900000000002</v>
      </c>
      <c r="E45" s="187">
        <f t="shared" ref="E45:G45" si="61">E46</f>
        <v>0</v>
      </c>
      <c r="F45" s="187">
        <f t="shared" si="61"/>
        <v>0</v>
      </c>
      <c r="G45" s="187">
        <f t="shared" si="61"/>
        <v>0</v>
      </c>
      <c r="H45" s="187">
        <f t="shared" ref="H45" si="62">IFERROR(G45/D45*100,0)</f>
        <v>0</v>
      </c>
      <c r="I45" s="187">
        <f t="shared" ref="I45" si="63">IFERROR(G45/E45*100,0)</f>
        <v>0</v>
      </c>
      <c r="J45" s="188">
        <f>J46</f>
        <v>0</v>
      </c>
      <c r="K45" s="188">
        <f t="shared" ref="K45:AG45" si="64">K46</f>
        <v>0</v>
      </c>
      <c r="L45" s="188">
        <f t="shared" si="64"/>
        <v>0</v>
      </c>
      <c r="M45" s="188">
        <f t="shared" si="64"/>
        <v>0</v>
      </c>
      <c r="N45" s="188">
        <f t="shared" si="64"/>
        <v>0</v>
      </c>
      <c r="O45" s="188">
        <f t="shared" si="64"/>
        <v>0</v>
      </c>
      <c r="P45" s="188">
        <f t="shared" si="64"/>
        <v>3.8969999999999998</v>
      </c>
      <c r="Q45" s="188">
        <f t="shared" si="64"/>
        <v>0</v>
      </c>
      <c r="R45" s="188">
        <f t="shared" si="64"/>
        <v>311.24599999999998</v>
      </c>
      <c r="S45" s="188">
        <f t="shared" si="64"/>
        <v>0</v>
      </c>
      <c r="T45" s="188">
        <f t="shared" si="64"/>
        <v>123.13200000000001</v>
      </c>
      <c r="U45" s="188">
        <f t="shared" si="64"/>
        <v>0</v>
      </c>
      <c r="V45" s="188">
        <f t="shared" si="64"/>
        <v>78.316000000000003</v>
      </c>
      <c r="W45" s="188">
        <f t="shared" si="64"/>
        <v>0</v>
      </c>
      <c r="X45" s="188">
        <f t="shared" si="64"/>
        <v>78.408000000000001</v>
      </c>
      <c r="Y45" s="188">
        <f t="shared" si="64"/>
        <v>0</v>
      </c>
      <c r="Z45" s="188">
        <f t="shared" si="64"/>
        <v>0</v>
      </c>
      <c r="AA45" s="188">
        <f t="shared" si="64"/>
        <v>0</v>
      </c>
      <c r="AB45" s="188">
        <f t="shared" si="64"/>
        <v>0</v>
      </c>
      <c r="AC45" s="188">
        <f t="shared" si="64"/>
        <v>0</v>
      </c>
      <c r="AD45" s="188">
        <f t="shared" si="64"/>
        <v>0</v>
      </c>
      <c r="AE45" s="188">
        <f t="shared" si="64"/>
        <v>0</v>
      </c>
      <c r="AF45" s="188">
        <f t="shared" si="64"/>
        <v>0</v>
      </c>
      <c r="AG45" s="188">
        <f t="shared" si="64"/>
        <v>0</v>
      </c>
      <c r="AH45" s="60"/>
      <c r="AI45" s="20"/>
    </row>
    <row r="46" spans="1:35" s="22" customFormat="1" ht="31.15" customHeight="1" x14ac:dyDescent="0.25">
      <c r="A46" s="380"/>
      <c r="B46" s="503"/>
      <c r="C46" s="189" t="s">
        <v>21</v>
      </c>
      <c r="D46" s="190">
        <f>SUM(J46,L46,N46,P46,R46,T46,V46,X46,Z46,AB46,AD46,AF46)</f>
        <v>594.99900000000002</v>
      </c>
      <c r="E46" s="190">
        <f>J46</f>
        <v>0</v>
      </c>
      <c r="F46" s="190">
        <f>G46</f>
        <v>0</v>
      </c>
      <c r="G46" s="190">
        <f>SUM(K46,M46,O46,Q46,S46,U46,W46,Y46,AA46,AC46,AE46,AG46)</f>
        <v>0</v>
      </c>
      <c r="H46" s="190">
        <f>IFERROR(G46/D46*100,0)</f>
        <v>0</v>
      </c>
      <c r="I46" s="190">
        <f>IFERROR(G46/E46*100,0)</f>
        <v>0</v>
      </c>
      <c r="J46" s="196">
        <f>J48+J50</f>
        <v>0</v>
      </c>
      <c r="K46" s="196">
        <f t="shared" ref="K46:AG46" si="65">K48+K50</f>
        <v>0</v>
      </c>
      <c r="L46" s="196">
        <f t="shared" si="65"/>
        <v>0</v>
      </c>
      <c r="M46" s="196">
        <f t="shared" si="65"/>
        <v>0</v>
      </c>
      <c r="N46" s="196">
        <f t="shared" si="65"/>
        <v>0</v>
      </c>
      <c r="O46" s="196">
        <f t="shared" si="65"/>
        <v>0</v>
      </c>
      <c r="P46" s="196">
        <f t="shared" si="65"/>
        <v>3.8969999999999998</v>
      </c>
      <c r="Q46" s="196">
        <f t="shared" si="65"/>
        <v>0</v>
      </c>
      <c r="R46" s="196">
        <f t="shared" si="65"/>
        <v>311.24599999999998</v>
      </c>
      <c r="S46" s="196">
        <f t="shared" si="65"/>
        <v>0</v>
      </c>
      <c r="T46" s="196">
        <f t="shared" si="65"/>
        <v>123.13200000000001</v>
      </c>
      <c r="U46" s="196">
        <f t="shared" si="65"/>
        <v>0</v>
      </c>
      <c r="V46" s="196">
        <f t="shared" si="65"/>
        <v>78.316000000000003</v>
      </c>
      <c r="W46" s="196">
        <f t="shared" si="65"/>
        <v>0</v>
      </c>
      <c r="X46" s="196">
        <f t="shared" si="65"/>
        <v>78.408000000000001</v>
      </c>
      <c r="Y46" s="196">
        <f t="shared" si="65"/>
        <v>0</v>
      </c>
      <c r="Z46" s="196">
        <f t="shared" si="65"/>
        <v>0</v>
      </c>
      <c r="AA46" s="196">
        <f t="shared" si="65"/>
        <v>0</v>
      </c>
      <c r="AB46" s="196">
        <f t="shared" si="65"/>
        <v>0</v>
      </c>
      <c r="AC46" s="196">
        <f t="shared" si="65"/>
        <v>0</v>
      </c>
      <c r="AD46" s="196">
        <f t="shared" si="65"/>
        <v>0</v>
      </c>
      <c r="AE46" s="196">
        <f t="shared" si="65"/>
        <v>0</v>
      </c>
      <c r="AF46" s="196">
        <f t="shared" si="65"/>
        <v>0</v>
      </c>
      <c r="AG46" s="196">
        <f t="shared" si="65"/>
        <v>0</v>
      </c>
      <c r="AH46" s="60"/>
      <c r="AI46" s="20"/>
    </row>
    <row r="47" spans="1:35" s="22" customFormat="1" ht="51" customHeight="1" x14ac:dyDescent="0.25">
      <c r="A47" s="392"/>
      <c r="B47" s="504" t="s">
        <v>323</v>
      </c>
      <c r="C47" s="126" t="s">
        <v>20</v>
      </c>
      <c r="D47" s="74">
        <f>D48</f>
        <v>300.99900000000002</v>
      </c>
      <c r="E47" s="74">
        <f t="shared" ref="E47:G47" si="66">E48</f>
        <v>0</v>
      </c>
      <c r="F47" s="74">
        <f t="shared" si="66"/>
        <v>0</v>
      </c>
      <c r="G47" s="74">
        <f t="shared" si="66"/>
        <v>0</v>
      </c>
      <c r="H47" s="62">
        <f t="shared" ref="H47" si="67">IFERROR(G47/D47*100,0)</f>
        <v>0</v>
      </c>
      <c r="I47" s="62">
        <f t="shared" ref="I47" si="68">IFERROR(G47/E47*100,0)</f>
        <v>0</v>
      </c>
      <c r="J47" s="63">
        <f>J48</f>
        <v>0</v>
      </c>
      <c r="K47" s="63">
        <f t="shared" ref="K47:AG47" si="69">K48</f>
        <v>0</v>
      </c>
      <c r="L47" s="63">
        <f t="shared" si="69"/>
        <v>0</v>
      </c>
      <c r="M47" s="63">
        <f t="shared" si="69"/>
        <v>0</v>
      </c>
      <c r="N47" s="63">
        <f t="shared" si="69"/>
        <v>0</v>
      </c>
      <c r="O47" s="63">
        <f t="shared" si="69"/>
        <v>0</v>
      </c>
      <c r="P47" s="63">
        <f t="shared" si="69"/>
        <v>3.8969999999999998</v>
      </c>
      <c r="Q47" s="63">
        <f t="shared" si="69"/>
        <v>0</v>
      </c>
      <c r="R47" s="63">
        <f t="shared" si="69"/>
        <v>17.245999999999999</v>
      </c>
      <c r="S47" s="63">
        <f t="shared" si="69"/>
        <v>0</v>
      </c>
      <c r="T47" s="63">
        <f t="shared" si="69"/>
        <v>123.13200000000001</v>
      </c>
      <c r="U47" s="63">
        <f t="shared" si="69"/>
        <v>0</v>
      </c>
      <c r="V47" s="63">
        <f t="shared" si="69"/>
        <v>78.316000000000003</v>
      </c>
      <c r="W47" s="63">
        <f t="shared" si="69"/>
        <v>0</v>
      </c>
      <c r="X47" s="63">
        <f t="shared" si="69"/>
        <v>78.408000000000001</v>
      </c>
      <c r="Y47" s="63">
        <f t="shared" si="69"/>
        <v>0</v>
      </c>
      <c r="Z47" s="63">
        <f t="shared" si="69"/>
        <v>0</v>
      </c>
      <c r="AA47" s="63">
        <f t="shared" si="69"/>
        <v>0</v>
      </c>
      <c r="AB47" s="63">
        <f t="shared" si="69"/>
        <v>0</v>
      </c>
      <c r="AC47" s="63">
        <f t="shared" si="69"/>
        <v>0</v>
      </c>
      <c r="AD47" s="63">
        <f t="shared" si="69"/>
        <v>0</v>
      </c>
      <c r="AE47" s="63">
        <f t="shared" si="69"/>
        <v>0</v>
      </c>
      <c r="AF47" s="63">
        <f t="shared" si="69"/>
        <v>0</v>
      </c>
      <c r="AG47" s="63">
        <f t="shared" si="69"/>
        <v>0</v>
      </c>
      <c r="AH47" s="64"/>
      <c r="AI47" s="20"/>
    </row>
    <row r="48" spans="1:35" s="22" customFormat="1" ht="37.9" customHeight="1" x14ac:dyDescent="0.25">
      <c r="A48" s="393"/>
      <c r="B48" s="505"/>
      <c r="C48" s="126" t="s">
        <v>21</v>
      </c>
      <c r="D48" s="74">
        <f>SUM(J48,L48,N48,P48,R48,T48,V48,X48,Z48,AB48,AD48,AF48)</f>
        <v>300.99900000000002</v>
      </c>
      <c r="E48" s="62">
        <f>J48</f>
        <v>0</v>
      </c>
      <c r="F48" s="62">
        <f>G48</f>
        <v>0</v>
      </c>
      <c r="G48" s="62">
        <f>SUM(K48,M48,O48,Q48,S48,U48,W48,Y48,AA48,AC48,AE48,AG48)</f>
        <v>0</v>
      </c>
      <c r="H48" s="62">
        <f>IFERROR(G48/D48*100,0)</f>
        <v>0</v>
      </c>
      <c r="I48" s="62">
        <f>IFERROR(G48/E48*100,0)</f>
        <v>0</v>
      </c>
      <c r="J48" s="63">
        <v>0</v>
      </c>
      <c r="K48" s="63">
        <v>0</v>
      </c>
      <c r="L48" s="63">
        <v>0</v>
      </c>
      <c r="M48" s="63">
        <v>0</v>
      </c>
      <c r="N48" s="63">
        <v>0</v>
      </c>
      <c r="O48" s="63">
        <v>0</v>
      </c>
      <c r="P48" s="63">
        <v>3.8969999999999998</v>
      </c>
      <c r="Q48" s="63">
        <v>0</v>
      </c>
      <c r="R48" s="63">
        <v>17.245999999999999</v>
      </c>
      <c r="S48" s="63">
        <v>0</v>
      </c>
      <c r="T48" s="63">
        <v>123.13200000000001</v>
      </c>
      <c r="U48" s="63">
        <v>0</v>
      </c>
      <c r="V48" s="63">
        <v>78.316000000000003</v>
      </c>
      <c r="W48" s="63">
        <v>0</v>
      </c>
      <c r="X48" s="63">
        <v>78.408000000000001</v>
      </c>
      <c r="Y48" s="63">
        <v>0</v>
      </c>
      <c r="Z48" s="63">
        <v>0</v>
      </c>
      <c r="AA48" s="63">
        <v>0</v>
      </c>
      <c r="AB48" s="63">
        <v>0</v>
      </c>
      <c r="AC48" s="63">
        <v>0</v>
      </c>
      <c r="AD48" s="63">
        <v>0</v>
      </c>
      <c r="AE48" s="63">
        <v>0</v>
      </c>
      <c r="AF48" s="63">
        <v>0</v>
      </c>
      <c r="AG48" s="63">
        <v>0</v>
      </c>
      <c r="AH48" s="64"/>
      <c r="AI48" s="20"/>
    </row>
    <row r="49" spans="1:35" s="22" customFormat="1" ht="30.75" customHeight="1" x14ac:dyDescent="0.25">
      <c r="A49" s="165"/>
      <c r="B49" s="493" t="s">
        <v>324</v>
      </c>
      <c r="C49" s="126" t="s">
        <v>20</v>
      </c>
      <c r="D49" s="74">
        <f t="shared" ref="D49:E49" si="70">D50</f>
        <v>294</v>
      </c>
      <c r="E49" s="62">
        <f t="shared" si="70"/>
        <v>0</v>
      </c>
      <c r="F49" s="62">
        <f t="shared" ref="F49:F50" si="71">G49</f>
        <v>0</v>
      </c>
      <c r="G49" s="62">
        <f>G50</f>
        <v>0</v>
      </c>
      <c r="H49" s="62">
        <f t="shared" ref="H49:H50" si="72">IFERROR(G49/D49*100,0)</f>
        <v>0</v>
      </c>
      <c r="I49" s="62">
        <f t="shared" ref="I49:I50" si="73">IFERROR(G49/E49*100,0)</f>
        <v>0</v>
      </c>
      <c r="J49" s="62">
        <f t="shared" ref="J49:AG49" si="74">J50</f>
        <v>0</v>
      </c>
      <c r="K49" s="62">
        <f t="shared" si="74"/>
        <v>0</v>
      </c>
      <c r="L49" s="62">
        <f t="shared" si="74"/>
        <v>0</v>
      </c>
      <c r="M49" s="62">
        <f t="shared" si="74"/>
        <v>0</v>
      </c>
      <c r="N49" s="62">
        <f t="shared" si="74"/>
        <v>0</v>
      </c>
      <c r="O49" s="62">
        <f t="shared" si="74"/>
        <v>0</v>
      </c>
      <c r="P49" s="62">
        <f t="shared" si="74"/>
        <v>0</v>
      </c>
      <c r="Q49" s="62">
        <f t="shared" si="74"/>
        <v>0</v>
      </c>
      <c r="R49" s="62">
        <f t="shared" si="74"/>
        <v>294</v>
      </c>
      <c r="S49" s="62">
        <f t="shared" si="74"/>
        <v>0</v>
      </c>
      <c r="T49" s="62">
        <f t="shared" si="74"/>
        <v>0</v>
      </c>
      <c r="U49" s="62">
        <f t="shared" si="74"/>
        <v>0</v>
      </c>
      <c r="V49" s="62">
        <f t="shared" si="74"/>
        <v>0</v>
      </c>
      <c r="W49" s="62">
        <f t="shared" si="74"/>
        <v>0</v>
      </c>
      <c r="X49" s="62">
        <f t="shared" si="74"/>
        <v>0</v>
      </c>
      <c r="Y49" s="62">
        <f t="shared" si="74"/>
        <v>0</v>
      </c>
      <c r="Z49" s="62">
        <f t="shared" si="74"/>
        <v>0</v>
      </c>
      <c r="AA49" s="62">
        <f t="shared" si="74"/>
        <v>0</v>
      </c>
      <c r="AB49" s="62">
        <f t="shared" si="74"/>
        <v>0</v>
      </c>
      <c r="AC49" s="62">
        <f t="shared" si="74"/>
        <v>0</v>
      </c>
      <c r="AD49" s="62">
        <f t="shared" si="74"/>
        <v>0</v>
      </c>
      <c r="AE49" s="62">
        <f t="shared" si="74"/>
        <v>0</v>
      </c>
      <c r="AF49" s="62">
        <f t="shared" si="74"/>
        <v>0</v>
      </c>
      <c r="AG49" s="62">
        <f t="shared" si="74"/>
        <v>0</v>
      </c>
      <c r="AH49" s="64"/>
      <c r="AI49" s="20"/>
    </row>
    <row r="50" spans="1:35" s="22" customFormat="1" ht="108.6" customHeight="1" x14ac:dyDescent="0.25">
      <c r="A50" s="165"/>
      <c r="B50" s="493"/>
      <c r="C50" s="126" t="s">
        <v>21</v>
      </c>
      <c r="D50" s="74">
        <f t="shared" ref="D50" si="75">SUM(J50,L50,N50,P50,R50,T50,V50,X50,Z50,AB50,AD50,AF50)</f>
        <v>294</v>
      </c>
      <c r="E50" s="62">
        <f t="shared" ref="E50" si="76">J50</f>
        <v>0</v>
      </c>
      <c r="F50" s="62">
        <f t="shared" si="71"/>
        <v>0</v>
      </c>
      <c r="G50" s="62">
        <f t="shared" ref="G50" si="77">SUM(K50,M50,O50,Q50,S50,U50,W50,Y50,AA50,AC50,AE50,AG50)</f>
        <v>0</v>
      </c>
      <c r="H50" s="62">
        <f t="shared" si="72"/>
        <v>0</v>
      </c>
      <c r="I50" s="62">
        <f t="shared" si="73"/>
        <v>0</v>
      </c>
      <c r="J50" s="63">
        <v>0</v>
      </c>
      <c r="K50" s="63">
        <v>0</v>
      </c>
      <c r="L50" s="63">
        <v>0</v>
      </c>
      <c r="M50" s="63">
        <v>0</v>
      </c>
      <c r="N50" s="63">
        <v>0</v>
      </c>
      <c r="O50" s="63">
        <v>0</v>
      </c>
      <c r="P50" s="63">
        <v>0</v>
      </c>
      <c r="Q50" s="63">
        <v>0</v>
      </c>
      <c r="R50" s="63">
        <v>294</v>
      </c>
      <c r="S50" s="63">
        <v>0</v>
      </c>
      <c r="T50" s="63">
        <v>0</v>
      </c>
      <c r="U50" s="63">
        <v>0</v>
      </c>
      <c r="V50" s="63">
        <v>0</v>
      </c>
      <c r="W50" s="63">
        <v>0</v>
      </c>
      <c r="X50" s="63">
        <v>0</v>
      </c>
      <c r="Y50" s="63">
        <v>0</v>
      </c>
      <c r="Z50" s="63">
        <v>0</v>
      </c>
      <c r="AA50" s="63">
        <v>0</v>
      </c>
      <c r="AB50" s="63">
        <v>0</v>
      </c>
      <c r="AC50" s="63">
        <v>0</v>
      </c>
      <c r="AD50" s="63">
        <v>0</v>
      </c>
      <c r="AE50" s="63">
        <v>0</v>
      </c>
      <c r="AF50" s="63">
        <v>0</v>
      </c>
      <c r="AG50" s="63">
        <v>0</v>
      </c>
      <c r="AH50" s="64" t="s">
        <v>343</v>
      </c>
      <c r="AI50" s="20"/>
    </row>
    <row r="51" spans="1:35" s="18" customFormat="1" ht="21.75" customHeight="1" x14ac:dyDescent="0.25">
      <c r="A51" s="166"/>
      <c r="B51" s="370" t="s">
        <v>32</v>
      </c>
      <c r="C51" s="371"/>
      <c r="D51" s="371"/>
      <c r="E51" s="371"/>
      <c r="F51" s="371"/>
      <c r="G51" s="371"/>
      <c r="H51" s="371"/>
      <c r="I51" s="371"/>
      <c r="J51" s="371"/>
      <c r="K51" s="371"/>
      <c r="L51" s="371"/>
      <c r="M51" s="371"/>
      <c r="N51" s="371"/>
      <c r="O51" s="371"/>
      <c r="P51" s="371"/>
      <c r="Q51" s="371"/>
      <c r="R51" s="371"/>
      <c r="S51" s="371"/>
      <c r="T51" s="371"/>
      <c r="U51" s="371"/>
      <c r="V51" s="371"/>
      <c r="W51" s="371"/>
      <c r="X51" s="371"/>
      <c r="Y51" s="371"/>
      <c r="Z51" s="371"/>
      <c r="AA51" s="371"/>
      <c r="AB51" s="371"/>
      <c r="AC51" s="371"/>
      <c r="AD51" s="371"/>
      <c r="AE51" s="371"/>
      <c r="AF51" s="371"/>
      <c r="AG51" s="372"/>
      <c r="AH51" s="46"/>
      <c r="AI51" s="19"/>
    </row>
    <row r="52" spans="1:35" s="30" customFormat="1" ht="27" customHeight="1" x14ac:dyDescent="0.25">
      <c r="A52" s="494" t="s">
        <v>325</v>
      </c>
      <c r="B52" s="496" t="s">
        <v>34</v>
      </c>
      <c r="C52" s="186" t="s">
        <v>20</v>
      </c>
      <c r="D52" s="187">
        <f>D53</f>
        <v>27167.594999999998</v>
      </c>
      <c r="E52" s="187">
        <f>E53</f>
        <v>7942.5129999999999</v>
      </c>
      <c r="F52" s="187">
        <f t="shared" ref="F52:G52" si="78">F53</f>
        <v>5728.4520000000002</v>
      </c>
      <c r="G52" s="187">
        <f t="shared" si="78"/>
        <v>5728.4520000000002</v>
      </c>
      <c r="H52" s="187">
        <f t="shared" ref="H52:H59" si="79">IFERROR(G52/D52*100,0)</f>
        <v>21.085605847702016</v>
      </c>
      <c r="I52" s="187">
        <f t="shared" ref="I52:I59" si="80">IFERROR(G52/E52*100,0)</f>
        <v>72.123923498771731</v>
      </c>
      <c r="J52" s="188">
        <f t="shared" ref="J52:AG52" si="81">SUM(J53:J53)</f>
        <v>4021.8620000000001</v>
      </c>
      <c r="K52" s="188">
        <f t="shared" si="81"/>
        <v>1653.05</v>
      </c>
      <c r="L52" s="188">
        <f t="shared" si="81"/>
        <v>2341.7439999999997</v>
      </c>
      <c r="M52" s="188">
        <f t="shared" si="81"/>
        <v>2275.7719999999999</v>
      </c>
      <c r="N52" s="188">
        <f t="shared" si="81"/>
        <v>1578.9070000000002</v>
      </c>
      <c r="O52" s="188">
        <f t="shared" si="81"/>
        <v>1799.63</v>
      </c>
      <c r="P52" s="188">
        <f t="shared" si="81"/>
        <v>3345.3140000000003</v>
      </c>
      <c r="Q52" s="188">
        <f t="shared" si="81"/>
        <v>0</v>
      </c>
      <c r="R52" s="188">
        <f t="shared" si="81"/>
        <v>2283.3710000000001</v>
      </c>
      <c r="S52" s="188">
        <f t="shared" si="81"/>
        <v>0</v>
      </c>
      <c r="T52" s="188">
        <f t="shared" si="81"/>
        <v>1445.8320000000001</v>
      </c>
      <c r="U52" s="188">
        <f t="shared" si="81"/>
        <v>0</v>
      </c>
      <c r="V52" s="188">
        <f t="shared" si="81"/>
        <v>2871.078</v>
      </c>
      <c r="W52" s="188">
        <f t="shared" si="81"/>
        <v>0</v>
      </c>
      <c r="X52" s="188">
        <f t="shared" si="81"/>
        <v>2130.2159999999999</v>
      </c>
      <c r="Y52" s="188">
        <f t="shared" si="81"/>
        <v>0</v>
      </c>
      <c r="Z52" s="188">
        <f t="shared" si="81"/>
        <v>1578.9070000000002</v>
      </c>
      <c r="AA52" s="188">
        <f t="shared" si="81"/>
        <v>0</v>
      </c>
      <c r="AB52" s="188">
        <f t="shared" si="81"/>
        <v>1823.9070000000002</v>
      </c>
      <c r="AC52" s="188">
        <f t="shared" si="81"/>
        <v>0</v>
      </c>
      <c r="AD52" s="188">
        <f t="shared" si="81"/>
        <v>1823.9070000000002</v>
      </c>
      <c r="AE52" s="188">
        <f t="shared" si="81"/>
        <v>0</v>
      </c>
      <c r="AF52" s="188">
        <f t="shared" si="81"/>
        <v>1922.5500000000002</v>
      </c>
      <c r="AG52" s="188">
        <f t="shared" si="81"/>
        <v>0</v>
      </c>
      <c r="AH52" s="72"/>
      <c r="AI52" s="29"/>
    </row>
    <row r="53" spans="1:35" s="31" customFormat="1" ht="54" customHeight="1" x14ac:dyDescent="0.25">
      <c r="A53" s="495"/>
      <c r="B53" s="497"/>
      <c r="C53" s="189" t="s">
        <v>21</v>
      </c>
      <c r="D53" s="190">
        <f>SUM(J53,L53,N53,P53,R53,T53,V53,X53,Z53,AB53,AD53,AF53)</f>
        <v>27167.594999999998</v>
      </c>
      <c r="E53" s="190">
        <f>J53+L53+N53</f>
        <v>7942.5129999999999</v>
      </c>
      <c r="F53" s="190">
        <f>G53</f>
        <v>5728.4520000000002</v>
      </c>
      <c r="G53" s="190">
        <f>SUM(K53,M53,O53,Q53,S53,U53,W53,Y53,AA53,AC53,AE53,AG53)</f>
        <v>5728.4520000000002</v>
      </c>
      <c r="H53" s="190">
        <f t="shared" si="79"/>
        <v>21.085605847702016</v>
      </c>
      <c r="I53" s="190">
        <f t="shared" si="80"/>
        <v>72.123923498771731</v>
      </c>
      <c r="J53" s="196">
        <f>J55+J57+J59</f>
        <v>4021.8620000000001</v>
      </c>
      <c r="K53" s="196">
        <f t="shared" ref="K53:AG53" si="82">K55+K57+K59</f>
        <v>1653.05</v>
      </c>
      <c r="L53" s="196">
        <f t="shared" si="82"/>
        <v>2341.7439999999997</v>
      </c>
      <c r="M53" s="196">
        <f t="shared" si="82"/>
        <v>2275.7719999999999</v>
      </c>
      <c r="N53" s="196">
        <f t="shared" si="82"/>
        <v>1578.9070000000002</v>
      </c>
      <c r="O53" s="196">
        <f t="shared" si="82"/>
        <v>1799.63</v>
      </c>
      <c r="P53" s="196">
        <f t="shared" si="82"/>
        <v>3345.3140000000003</v>
      </c>
      <c r="Q53" s="196">
        <f t="shared" si="82"/>
        <v>0</v>
      </c>
      <c r="R53" s="196">
        <f t="shared" si="82"/>
        <v>2283.3710000000001</v>
      </c>
      <c r="S53" s="196">
        <f t="shared" si="82"/>
        <v>0</v>
      </c>
      <c r="T53" s="196">
        <f t="shared" si="82"/>
        <v>1445.8320000000001</v>
      </c>
      <c r="U53" s="196">
        <f t="shared" si="82"/>
        <v>0</v>
      </c>
      <c r="V53" s="196">
        <f t="shared" si="82"/>
        <v>2871.078</v>
      </c>
      <c r="W53" s="196">
        <f t="shared" si="82"/>
        <v>0</v>
      </c>
      <c r="X53" s="196">
        <f t="shared" si="82"/>
        <v>2130.2159999999999</v>
      </c>
      <c r="Y53" s="196">
        <f t="shared" si="82"/>
        <v>0</v>
      </c>
      <c r="Z53" s="196">
        <f t="shared" si="82"/>
        <v>1578.9070000000002</v>
      </c>
      <c r="AA53" s="196">
        <f t="shared" si="82"/>
        <v>0</v>
      </c>
      <c r="AB53" s="196">
        <f t="shared" si="82"/>
        <v>1823.9070000000002</v>
      </c>
      <c r="AC53" s="196">
        <f t="shared" si="82"/>
        <v>0</v>
      </c>
      <c r="AD53" s="196">
        <f t="shared" si="82"/>
        <v>1823.9070000000002</v>
      </c>
      <c r="AE53" s="196">
        <f t="shared" si="82"/>
        <v>0</v>
      </c>
      <c r="AF53" s="196">
        <f t="shared" si="82"/>
        <v>1922.5500000000002</v>
      </c>
      <c r="AG53" s="196">
        <f t="shared" si="82"/>
        <v>0</v>
      </c>
      <c r="AH53" s="75"/>
      <c r="AI53" s="29"/>
    </row>
    <row r="54" spans="1:35" s="10" customFormat="1" ht="30.75" customHeight="1" x14ac:dyDescent="0.25">
      <c r="A54" s="402"/>
      <c r="B54" s="498" t="s">
        <v>326</v>
      </c>
      <c r="C54" s="123" t="s">
        <v>20</v>
      </c>
      <c r="D54" s="70">
        <f>D55</f>
        <v>5436.5</v>
      </c>
      <c r="E54" s="70">
        <f t="shared" ref="E54:G54" si="83">E55</f>
        <v>1571.9069999999999</v>
      </c>
      <c r="F54" s="70">
        <f t="shared" si="83"/>
        <v>1015.721</v>
      </c>
      <c r="G54" s="70">
        <f t="shared" si="83"/>
        <v>1015.721</v>
      </c>
      <c r="H54" s="70">
        <f t="shared" si="79"/>
        <v>18.683362457463442</v>
      </c>
      <c r="I54" s="70">
        <f t="shared" si="80"/>
        <v>64.617117933821788</v>
      </c>
      <c r="J54" s="71">
        <f t="shared" ref="J54:AG54" si="84">SUM(J55:J55)</f>
        <v>791.31200000000001</v>
      </c>
      <c r="K54" s="71">
        <f t="shared" si="84"/>
        <v>293.041</v>
      </c>
      <c r="L54" s="71">
        <f t="shared" si="84"/>
        <v>467.18099999999998</v>
      </c>
      <c r="M54" s="71">
        <f t="shared" si="84"/>
        <v>416.40300000000002</v>
      </c>
      <c r="N54" s="71">
        <f t="shared" si="84"/>
        <v>313.41399999999999</v>
      </c>
      <c r="O54" s="71">
        <f t="shared" si="84"/>
        <v>306.27699999999999</v>
      </c>
      <c r="P54" s="71">
        <f t="shared" si="84"/>
        <v>669.47400000000005</v>
      </c>
      <c r="Q54" s="71">
        <f t="shared" si="84"/>
        <v>0</v>
      </c>
      <c r="R54" s="71">
        <f t="shared" si="84"/>
        <v>455.84399999999999</v>
      </c>
      <c r="S54" s="71">
        <f t="shared" si="84"/>
        <v>0</v>
      </c>
      <c r="T54" s="71">
        <f t="shared" si="84"/>
        <v>313.41399999999999</v>
      </c>
      <c r="U54" s="71">
        <f t="shared" si="84"/>
        <v>0</v>
      </c>
      <c r="V54" s="71">
        <f t="shared" si="84"/>
        <v>567.45399999999995</v>
      </c>
      <c r="W54" s="71">
        <f t="shared" si="84"/>
        <v>0</v>
      </c>
      <c r="X54" s="71">
        <f t="shared" si="84"/>
        <v>425.03399999999999</v>
      </c>
      <c r="Y54" s="71">
        <f t="shared" si="84"/>
        <v>0</v>
      </c>
      <c r="Z54" s="71">
        <f t="shared" si="84"/>
        <v>313.41399999999999</v>
      </c>
      <c r="AA54" s="71">
        <f t="shared" si="84"/>
        <v>0</v>
      </c>
      <c r="AB54" s="71">
        <f t="shared" si="84"/>
        <v>363.41399999999999</v>
      </c>
      <c r="AC54" s="71">
        <f t="shared" si="84"/>
        <v>0</v>
      </c>
      <c r="AD54" s="71">
        <f t="shared" si="84"/>
        <v>363.41399999999999</v>
      </c>
      <c r="AE54" s="71">
        <f t="shared" si="84"/>
        <v>0</v>
      </c>
      <c r="AF54" s="71">
        <f t="shared" si="84"/>
        <v>393.13099999999997</v>
      </c>
      <c r="AG54" s="71">
        <f t="shared" si="84"/>
        <v>0</v>
      </c>
      <c r="AH54" s="64" t="s">
        <v>349</v>
      </c>
    </row>
    <row r="55" spans="1:35" s="10" customFormat="1" ht="27" customHeight="1" x14ac:dyDescent="0.25">
      <c r="A55" s="403"/>
      <c r="B55" s="499"/>
      <c r="C55" s="124" t="s">
        <v>21</v>
      </c>
      <c r="D55" s="74">
        <f>SUM(J55,L55,N55,P55,R55,T55,V55,X55,Z55,AB55,AD55,AF55)</f>
        <v>5436.5</v>
      </c>
      <c r="E55" s="74">
        <f>J55+L55+N55</f>
        <v>1571.9069999999999</v>
      </c>
      <c r="F55" s="74">
        <f>G55</f>
        <v>1015.721</v>
      </c>
      <c r="G55" s="74">
        <f>SUM(K55,M55,O55,Q55,S55,U55,W55,Y55,AA55,AC55,AE55,AG55)</f>
        <v>1015.721</v>
      </c>
      <c r="H55" s="74">
        <f t="shared" si="79"/>
        <v>18.683362457463442</v>
      </c>
      <c r="I55" s="74">
        <f t="shared" si="80"/>
        <v>64.617117933821788</v>
      </c>
      <c r="J55" s="67">
        <v>791.31200000000001</v>
      </c>
      <c r="K55" s="67">
        <v>293.041</v>
      </c>
      <c r="L55" s="67">
        <v>467.18099999999998</v>
      </c>
      <c r="M55" s="67">
        <v>416.40300000000002</v>
      </c>
      <c r="N55" s="67">
        <v>313.41399999999999</v>
      </c>
      <c r="O55" s="67">
        <v>306.27699999999999</v>
      </c>
      <c r="P55" s="67">
        <v>669.47400000000005</v>
      </c>
      <c r="Q55" s="67">
        <v>0</v>
      </c>
      <c r="R55" s="67">
        <v>455.84399999999999</v>
      </c>
      <c r="S55" s="67">
        <v>0</v>
      </c>
      <c r="T55" s="67">
        <v>313.41399999999999</v>
      </c>
      <c r="U55" s="67">
        <v>0</v>
      </c>
      <c r="V55" s="67">
        <v>567.45399999999995</v>
      </c>
      <c r="W55" s="67">
        <v>0</v>
      </c>
      <c r="X55" s="67">
        <v>425.03399999999999</v>
      </c>
      <c r="Y55" s="67">
        <v>0</v>
      </c>
      <c r="Z55" s="67">
        <v>313.41399999999999</v>
      </c>
      <c r="AA55" s="67">
        <v>0</v>
      </c>
      <c r="AB55" s="67">
        <v>363.41399999999999</v>
      </c>
      <c r="AC55" s="67">
        <v>0</v>
      </c>
      <c r="AD55" s="67">
        <v>363.41399999999999</v>
      </c>
      <c r="AE55" s="67">
        <v>0</v>
      </c>
      <c r="AF55" s="67">
        <v>393.13099999999997</v>
      </c>
      <c r="AG55" s="67">
        <v>0</v>
      </c>
      <c r="AH55" s="75"/>
    </row>
    <row r="56" spans="1:35" s="10" customFormat="1" ht="43.15" customHeight="1" x14ac:dyDescent="0.25">
      <c r="A56" s="402"/>
      <c r="B56" s="492" t="s">
        <v>327</v>
      </c>
      <c r="C56" s="123" t="s">
        <v>20</v>
      </c>
      <c r="D56" s="70">
        <f>D57</f>
        <v>3665.8989999999994</v>
      </c>
      <c r="E56" s="70">
        <f>E57</f>
        <v>1063.617</v>
      </c>
      <c r="F56" s="70">
        <f t="shared" ref="F56:G58" si="85">F57</f>
        <v>696.21799999999996</v>
      </c>
      <c r="G56" s="70">
        <f t="shared" si="85"/>
        <v>696.21799999999996</v>
      </c>
      <c r="H56" s="70">
        <f t="shared" si="79"/>
        <v>18.991739816072403</v>
      </c>
      <c r="I56" s="70">
        <f t="shared" si="80"/>
        <v>65.457584826116914</v>
      </c>
      <c r="J56" s="71">
        <f t="shared" ref="J56:AG58" si="86">SUM(J57:J57)</f>
        <v>533.548</v>
      </c>
      <c r="K56" s="71">
        <v>232.51</v>
      </c>
      <c r="L56" s="71">
        <f t="shared" si="86"/>
        <v>315.01400000000001</v>
      </c>
      <c r="M56" s="71">
        <f t="shared" si="86"/>
        <v>249.572</v>
      </c>
      <c r="N56" s="71">
        <f t="shared" si="86"/>
        <v>215.05500000000001</v>
      </c>
      <c r="O56" s="71">
        <f t="shared" si="86"/>
        <v>214.136</v>
      </c>
      <c r="P56" s="71">
        <f t="shared" si="86"/>
        <v>451.37700000000001</v>
      </c>
      <c r="Q56" s="71">
        <f t="shared" si="86"/>
        <v>0</v>
      </c>
      <c r="R56" s="71">
        <f t="shared" si="86"/>
        <v>307.363</v>
      </c>
      <c r="S56" s="71">
        <f t="shared" si="86"/>
        <v>0</v>
      </c>
      <c r="T56" s="71">
        <f t="shared" si="86"/>
        <v>215.05500000000001</v>
      </c>
      <c r="U56" s="71">
        <f t="shared" si="86"/>
        <v>0</v>
      </c>
      <c r="V56" s="71">
        <f t="shared" si="86"/>
        <v>382.60300000000001</v>
      </c>
      <c r="W56" s="71">
        <f t="shared" si="86"/>
        <v>0</v>
      </c>
      <c r="X56" s="71">
        <f t="shared" si="86"/>
        <v>286.59399999999999</v>
      </c>
      <c r="Y56" s="71">
        <f t="shared" si="86"/>
        <v>0</v>
      </c>
      <c r="Z56" s="71">
        <f t="shared" si="86"/>
        <v>215.05500000000001</v>
      </c>
      <c r="AA56" s="71">
        <f t="shared" si="86"/>
        <v>0</v>
      </c>
      <c r="AB56" s="71">
        <f t="shared" si="86"/>
        <v>245.05500000000001</v>
      </c>
      <c r="AC56" s="71">
        <f t="shared" si="86"/>
        <v>0</v>
      </c>
      <c r="AD56" s="71">
        <f t="shared" si="86"/>
        <v>245.05500000000001</v>
      </c>
      <c r="AE56" s="71">
        <f t="shared" si="86"/>
        <v>0</v>
      </c>
      <c r="AF56" s="71">
        <f t="shared" si="86"/>
        <v>254.125</v>
      </c>
      <c r="AG56" s="71">
        <f t="shared" si="86"/>
        <v>0</v>
      </c>
      <c r="AH56" s="64" t="s">
        <v>350</v>
      </c>
    </row>
    <row r="57" spans="1:35" s="10" customFormat="1" ht="36" customHeight="1" x14ac:dyDescent="0.25">
      <c r="A57" s="403"/>
      <c r="B57" s="492"/>
      <c r="C57" s="124" t="s">
        <v>21</v>
      </c>
      <c r="D57" s="74">
        <f>SUM(J57,L57,N57,P57,R57,T57,V57,X57,Z57,AB57,AD57,AF57)</f>
        <v>3665.8989999999994</v>
      </c>
      <c r="E57" s="74">
        <f>J57+L57+N57</f>
        <v>1063.617</v>
      </c>
      <c r="F57" s="74">
        <f>G57</f>
        <v>696.21799999999996</v>
      </c>
      <c r="G57" s="74">
        <f>SUM(K57,M57,O57,Q57,S57,U57,W57,Y57,AA57,AC57,AE57,AG57)</f>
        <v>696.21799999999996</v>
      </c>
      <c r="H57" s="74">
        <f t="shared" si="79"/>
        <v>18.991739816072403</v>
      </c>
      <c r="I57" s="74">
        <f t="shared" si="80"/>
        <v>65.457584826116914</v>
      </c>
      <c r="J57" s="67">
        <v>533.548</v>
      </c>
      <c r="K57" s="67">
        <v>232.51</v>
      </c>
      <c r="L57" s="67">
        <v>315.01400000000001</v>
      </c>
      <c r="M57" s="67">
        <v>249.572</v>
      </c>
      <c r="N57" s="67">
        <v>215.05500000000001</v>
      </c>
      <c r="O57" s="67">
        <v>214.136</v>
      </c>
      <c r="P57" s="67">
        <v>451.37700000000001</v>
      </c>
      <c r="Q57" s="67">
        <v>0</v>
      </c>
      <c r="R57" s="67">
        <v>307.363</v>
      </c>
      <c r="S57" s="67">
        <v>0</v>
      </c>
      <c r="T57" s="67">
        <v>215.05500000000001</v>
      </c>
      <c r="U57" s="67">
        <v>0</v>
      </c>
      <c r="V57" s="67">
        <v>382.60300000000001</v>
      </c>
      <c r="W57" s="67">
        <v>0</v>
      </c>
      <c r="X57" s="67">
        <v>286.59399999999999</v>
      </c>
      <c r="Y57" s="67">
        <v>0</v>
      </c>
      <c r="Z57" s="67">
        <v>215.05500000000001</v>
      </c>
      <c r="AA57" s="67">
        <v>0</v>
      </c>
      <c r="AB57" s="67">
        <v>245.05500000000001</v>
      </c>
      <c r="AC57" s="67">
        <v>0</v>
      </c>
      <c r="AD57" s="67">
        <v>245.05500000000001</v>
      </c>
      <c r="AE57" s="67">
        <v>0</v>
      </c>
      <c r="AF57" s="67">
        <v>254.125</v>
      </c>
      <c r="AG57" s="67">
        <v>0</v>
      </c>
      <c r="AH57" s="75"/>
    </row>
    <row r="58" spans="1:35" s="10" customFormat="1" ht="42" customHeight="1" x14ac:dyDescent="0.25">
      <c r="A58" s="402"/>
      <c r="B58" s="492" t="s">
        <v>328</v>
      </c>
      <c r="C58" s="123" t="s">
        <v>20</v>
      </c>
      <c r="D58" s="70">
        <f>D59</f>
        <v>18065.196000000004</v>
      </c>
      <c r="E58" s="70">
        <f>E59</f>
        <v>5306.9889999999996</v>
      </c>
      <c r="F58" s="70">
        <f t="shared" si="85"/>
        <v>4016.5130000000004</v>
      </c>
      <c r="G58" s="70">
        <f>G59</f>
        <v>4016.5130000000004</v>
      </c>
      <c r="H58" s="70">
        <f t="shared" si="79"/>
        <v>22.233431621777033</v>
      </c>
      <c r="I58" s="70">
        <f t="shared" si="80"/>
        <v>75.683461940471346</v>
      </c>
      <c r="J58" s="71">
        <f t="shared" si="86"/>
        <v>2697.002</v>
      </c>
      <c r="K58" s="71">
        <f t="shared" si="86"/>
        <v>1127.499</v>
      </c>
      <c r="L58" s="71">
        <f t="shared" si="86"/>
        <v>1559.549</v>
      </c>
      <c r="M58" s="71">
        <f t="shared" si="86"/>
        <v>1609.797</v>
      </c>
      <c r="N58" s="71">
        <f t="shared" si="86"/>
        <v>1050.4380000000001</v>
      </c>
      <c r="O58" s="71">
        <v>1279.2170000000001</v>
      </c>
      <c r="P58" s="71">
        <f t="shared" si="86"/>
        <v>2224.4630000000002</v>
      </c>
      <c r="Q58" s="71">
        <f t="shared" si="86"/>
        <v>0</v>
      </c>
      <c r="R58" s="71">
        <f t="shared" si="86"/>
        <v>1520.164</v>
      </c>
      <c r="S58" s="71">
        <f t="shared" si="86"/>
        <v>0</v>
      </c>
      <c r="T58" s="71">
        <f t="shared" si="86"/>
        <v>917.36300000000006</v>
      </c>
      <c r="U58" s="71">
        <f t="shared" si="86"/>
        <v>0</v>
      </c>
      <c r="V58" s="71">
        <f t="shared" si="86"/>
        <v>1921.021</v>
      </c>
      <c r="W58" s="71">
        <f t="shared" si="86"/>
        <v>0</v>
      </c>
      <c r="X58" s="71">
        <f t="shared" si="86"/>
        <v>1418.588</v>
      </c>
      <c r="Y58" s="71">
        <f t="shared" si="86"/>
        <v>0</v>
      </c>
      <c r="Z58" s="71">
        <f t="shared" si="86"/>
        <v>1050.4380000000001</v>
      </c>
      <c r="AA58" s="71">
        <f t="shared" si="86"/>
        <v>0</v>
      </c>
      <c r="AB58" s="71">
        <f t="shared" si="86"/>
        <v>1215.4380000000001</v>
      </c>
      <c r="AC58" s="71">
        <f t="shared" si="86"/>
        <v>0</v>
      </c>
      <c r="AD58" s="71">
        <f t="shared" si="86"/>
        <v>1215.4380000000001</v>
      </c>
      <c r="AE58" s="71">
        <f t="shared" si="86"/>
        <v>0</v>
      </c>
      <c r="AF58" s="71">
        <f t="shared" si="86"/>
        <v>1275.2940000000001</v>
      </c>
      <c r="AG58" s="71">
        <f t="shared" si="86"/>
        <v>0</v>
      </c>
      <c r="AH58" s="64" t="s">
        <v>348</v>
      </c>
    </row>
    <row r="59" spans="1:35" s="10" customFormat="1" ht="28.15" customHeight="1" x14ac:dyDescent="0.25">
      <c r="A59" s="403"/>
      <c r="B59" s="492"/>
      <c r="C59" s="124" t="s">
        <v>21</v>
      </c>
      <c r="D59" s="74">
        <f>SUM(J59,L59,N59,P59,R59,T59,V59,X59,Z59,AB59,AD59,AF59)</f>
        <v>18065.196000000004</v>
      </c>
      <c r="E59" s="74">
        <f>J59+L59+N59</f>
        <v>5306.9889999999996</v>
      </c>
      <c r="F59" s="74">
        <f>G59</f>
        <v>4016.5130000000004</v>
      </c>
      <c r="G59" s="74">
        <f>SUM(K59,M59,O59,Q59,S59,U59,W59,Y59,AA59,AC59,AE59,AG59)</f>
        <v>4016.5130000000004</v>
      </c>
      <c r="H59" s="74">
        <f t="shared" si="79"/>
        <v>22.233431621777033</v>
      </c>
      <c r="I59" s="74">
        <f t="shared" si="80"/>
        <v>75.683461940471346</v>
      </c>
      <c r="J59" s="67">
        <v>2697.002</v>
      </c>
      <c r="K59" s="67">
        <v>1127.499</v>
      </c>
      <c r="L59" s="67">
        <v>1559.549</v>
      </c>
      <c r="M59" s="67">
        <v>1609.797</v>
      </c>
      <c r="N59" s="67">
        <v>1050.4380000000001</v>
      </c>
      <c r="O59" s="67">
        <v>1279.2170000000001</v>
      </c>
      <c r="P59" s="67">
        <v>2224.4630000000002</v>
      </c>
      <c r="Q59" s="67">
        <v>0</v>
      </c>
      <c r="R59" s="67">
        <v>1520.164</v>
      </c>
      <c r="S59" s="67">
        <v>0</v>
      </c>
      <c r="T59" s="67">
        <v>917.36300000000006</v>
      </c>
      <c r="U59" s="67">
        <v>0</v>
      </c>
      <c r="V59" s="67">
        <v>1921.021</v>
      </c>
      <c r="W59" s="67">
        <v>0</v>
      </c>
      <c r="X59" s="67">
        <v>1418.588</v>
      </c>
      <c r="Y59" s="67">
        <v>0</v>
      </c>
      <c r="Z59" s="67">
        <v>1050.4380000000001</v>
      </c>
      <c r="AA59" s="67">
        <v>0</v>
      </c>
      <c r="AB59" s="67">
        <v>1215.4380000000001</v>
      </c>
      <c r="AC59" s="67">
        <v>0</v>
      </c>
      <c r="AD59" s="67">
        <v>1215.4380000000001</v>
      </c>
      <c r="AE59" s="67">
        <v>0</v>
      </c>
      <c r="AF59" s="67">
        <v>1275.2940000000001</v>
      </c>
      <c r="AG59" s="67">
        <v>0</v>
      </c>
      <c r="AH59" s="75"/>
    </row>
    <row r="60" spans="1:35" x14ac:dyDescent="0.25">
      <c r="L60" s="130"/>
    </row>
  </sheetData>
  <customSheetViews>
    <customSheetView guid="{2940A182-D1A7-43C5-8D6E-965BED4371B0}" scale="80" state="hidden">
      <pane xSplit="6" ySplit="7" topLeftCell="G23" activePane="bottomRight" state="frozen"/>
      <selection pane="bottomRight" activeCell="A8" sqref="A8:XFD10"/>
      <pageMargins left="0.7" right="0.7" top="0.75" bottom="0.75" header="0.3" footer="0.3"/>
      <pageSetup paperSize="9" orientation="portrait" r:id="rId1"/>
    </customSheetView>
    <customSheetView guid="{BBF6B43F-E0FC-43DF-B91C-674F6AB4B556}" scale="75">
      <pane xSplit="6" ySplit="7" topLeftCell="G32" activePane="bottomRight" state="frozen"/>
      <selection pane="bottomRight" activeCell="F25" sqref="F25"/>
      <pageMargins left="0.7" right="0.7" top="0.75" bottom="0.75" header="0.3" footer="0.3"/>
      <pageSetup paperSize="9" orientation="portrait" r:id="rId2"/>
    </customSheetView>
    <customSheetView guid="{30B635D9-57DB-47D5-8A0F-4B30DD769960}" scale="75">
      <pane xSplit="6" ySplit="7" topLeftCell="G32" activePane="bottomRight" state="frozen"/>
      <selection pane="bottomRight" activeCell="F25" sqref="F25"/>
      <pageMargins left="0.7" right="0.7" top="0.75" bottom="0.75" header="0.3" footer="0.3"/>
      <pageSetup paperSize="9" orientation="portrait" r:id="rId3"/>
    </customSheetView>
    <customSheetView guid="{DAEDC989-02E7-4319-8354-59410ACF3F1F}" scale="50">
      <pane xSplit="6" ySplit="7" topLeftCell="G8" activePane="bottomRight" state="frozen"/>
      <selection pane="bottomRight" activeCell="Y84" sqref="Y84"/>
      <pageMargins left="0.7" right="0.7" top="0.75" bottom="0.75" header="0.3" footer="0.3"/>
      <pageSetup paperSize="9" orientation="portrait" r:id="rId4"/>
    </customSheetView>
    <customSheetView guid="{21E1D423-7B38-4272-8354-09B4DB62C9EB}" scale="80">
      <pane xSplit="6" ySplit="7" topLeftCell="G23" activePane="bottomRight" state="frozen"/>
      <selection pane="bottomRight" activeCell="A8" sqref="A8:XFD10"/>
      <pageMargins left="0.7" right="0.7" top="0.75" bottom="0.75" header="0.3" footer="0.3"/>
      <pageSetup paperSize="9" orientation="portrait" r:id="rId5"/>
    </customSheetView>
    <customSheetView guid="{EA46B61D-849C-4795-A4FF-F8F1740022EB}" scale="75">
      <pane xSplit="6" ySplit="7" topLeftCell="G32" activePane="bottomRight" state="frozen"/>
      <selection pane="bottomRight" activeCell="F25" sqref="F25"/>
      <pageMargins left="0.7" right="0.7" top="0.75" bottom="0.75" header="0.3" footer="0.3"/>
      <pageSetup paperSize="9" orientation="portrait" r:id="rId6"/>
    </customSheetView>
    <customSheetView guid="{A0E2FBF6-E560-4343-8BE6-217DC798135B}" scale="75">
      <pane xSplit="6" ySplit="7" topLeftCell="G32" activePane="bottomRight" state="frozen"/>
      <selection pane="bottomRight" activeCell="F25" sqref="F25"/>
      <pageMargins left="0.7" right="0.7" top="0.75" bottom="0.75" header="0.3" footer="0.3"/>
      <pageSetup paperSize="9" orientation="portrait" r:id="rId7"/>
    </customSheetView>
    <customSheetView guid="{20A05A62-CBE8-4538-BBC3-2AD9D3B8FAC0}" scale="89">
      <pane xSplit="6" ySplit="7" topLeftCell="G44" activePane="bottomRight" state="frozen"/>
      <selection pane="bottomRight" activeCell="J41" sqref="J41"/>
      <pageMargins left="0.7" right="0.7" top="0.75" bottom="0.75" header="0.3" footer="0.3"/>
      <pageSetup paperSize="9" orientation="portrait" r:id="rId8"/>
    </customSheetView>
    <customSheetView guid="{A4AF2100-C59D-4F60-9EAB-56D9103463F7}" scale="75">
      <pane xSplit="6" ySplit="7" topLeftCell="G32" activePane="bottomRight" state="frozen"/>
      <selection pane="bottomRight" activeCell="F25" sqref="F25"/>
      <pageMargins left="0.7" right="0.7" top="0.75" bottom="0.75" header="0.3" footer="0.3"/>
      <pageSetup paperSize="9" orientation="portrait" r:id="rId9"/>
    </customSheetView>
    <customSheetView guid="{519948E4-0B24-465F-9D9E-44BE50D1D647}" scale="80">
      <pane xSplit="6" ySplit="7" topLeftCell="G23" activePane="bottomRight" state="frozen"/>
      <selection pane="bottomRight" activeCell="A8" sqref="A8:XFD10"/>
      <pageMargins left="0.7" right="0.7" top="0.75" bottom="0.75" header="0.3" footer="0.3"/>
      <pageSetup paperSize="9" orientation="portrait" r:id="rId10"/>
    </customSheetView>
    <customSheetView guid="{C7DC638A-7F60-46C9-A1FB-9ADEAE87F332}" scale="80">
      <pane xSplit="6" ySplit="7" topLeftCell="G23" activePane="bottomRight" state="frozen"/>
      <selection pane="bottomRight" activeCell="A8" sqref="A8:XFD10"/>
      <pageMargins left="0.7" right="0.7" top="0.75" bottom="0.75" header="0.3" footer="0.3"/>
      <pageSetup paperSize="9" orientation="portrait" r:id="rId11"/>
    </customSheetView>
    <customSheetView guid="{2A5A11D4-90C6-4A3E-8165-7D7BD634B22F}" scale="50">
      <pane xSplit="6" ySplit="7" topLeftCell="S11" activePane="bottomRight" state="frozen"/>
      <selection pane="bottomRight" activeCell="AH16" sqref="AH16"/>
      <pageMargins left="0.7" right="0.7" top="0.75" bottom="0.75" header="0.3" footer="0.3"/>
      <pageSetup paperSize="9" orientation="portrait" r:id="rId12"/>
    </customSheetView>
    <customSheetView guid="{562453CE-35F5-40A3-AD14-6399D1197C99}" scale="50">
      <pane xSplit="6" ySplit="7" topLeftCell="G8" activePane="bottomRight" state="frozen"/>
      <selection pane="bottomRight" activeCell="Y84" sqref="Y84"/>
      <pageMargins left="0.7" right="0.7" top="0.75" bottom="0.75" header="0.3" footer="0.3"/>
      <pageSetup paperSize="9" orientation="portrait" r:id="rId13"/>
    </customSheetView>
    <customSheetView guid="{B6B60ED6-A6CC-4DA7-A8CA-5E6DB52D5A87}" scale="75">
      <pane xSplit="6" ySplit="7" topLeftCell="G32" activePane="bottomRight" state="frozen"/>
      <selection pane="bottomRight" activeCell="F25" sqref="F25"/>
      <pageMargins left="0.7" right="0.7" top="0.75" bottom="0.75" header="0.3" footer="0.3"/>
      <pageSetup paperSize="9" orientation="portrait" r:id="rId14"/>
    </customSheetView>
    <customSheetView guid="{133BB3F8-8DD4-4AEF-8CD6-A5FB14681329}" scale="75">
      <pane xSplit="6" ySplit="7" topLeftCell="G32" activePane="bottomRight" state="frozen"/>
      <selection pane="bottomRight" activeCell="F25" sqref="F25"/>
      <pageMargins left="0.7" right="0.7" top="0.75" bottom="0.75" header="0.3" footer="0.3"/>
      <pageSetup paperSize="9" orientation="portrait" r:id="rId15"/>
    </customSheetView>
    <customSheetView guid="{5DF2C78B-5EE4-439D-8D72-8D3A913B65F9}" scale="80">
      <pane xSplit="6" ySplit="7" topLeftCell="G23" activePane="bottomRight" state="frozen"/>
      <selection pane="bottomRight" activeCell="A8" sqref="A8:XFD10"/>
      <pageMargins left="0.7" right="0.7" top="0.75" bottom="0.75" header="0.3" footer="0.3"/>
      <pageSetup paperSize="9" orientation="portrait" r:id="rId16"/>
    </customSheetView>
    <customSheetView guid="{60A1F930-4BEC-460A-8E14-01E47F6DD055}" scale="75">
      <pane xSplit="6" ySplit="6" topLeftCell="G16" activePane="bottomRight" state="frozen"/>
      <selection pane="bottomRight" activeCell="H9" sqref="H9"/>
      <pageMargins left="0.7" right="0.7" top="0.75" bottom="0.75" header="0.3" footer="0.3"/>
      <pageSetup paperSize="9" orientation="portrait" r:id="rId17"/>
    </customSheetView>
    <customSheetView guid="{7C5A2A36-3D69-43D9-9018-A52C27EC78F9}" scale="89">
      <pane xSplit="6" ySplit="7" topLeftCell="G47" activePane="bottomRight" state="frozen"/>
      <selection pane="bottomRight" activeCell="A8" sqref="A8:XFD10"/>
      <pageMargins left="0.7" right="0.7" top="0.75" bottom="0.75" header="0.3" footer="0.3"/>
      <pageSetup paperSize="9" orientation="portrait" r:id="rId18"/>
    </customSheetView>
    <customSheetView guid="{C282AA4E-1BB5-4296-9AC6-844C0F88E5FC}" scale="80">
      <pane xSplit="6" ySplit="7" topLeftCell="G23" activePane="bottomRight" state="frozen"/>
      <selection pane="bottomRight" activeCell="A8" sqref="A8:XFD10"/>
      <pageMargins left="0.7" right="0.7" top="0.75" bottom="0.75" header="0.3" footer="0.3"/>
      <pageSetup paperSize="9" orientation="portrait" r:id="rId19"/>
    </customSheetView>
    <customSheetView guid="{996EC2F0-F6EC-4E63-A83E-34865157BD8D}" scale="75">
      <pane xSplit="6" ySplit="7" topLeftCell="G32" activePane="bottomRight" state="frozen"/>
      <selection pane="bottomRight" activeCell="F25" sqref="F25"/>
      <pageMargins left="0.7" right="0.7" top="0.75" bottom="0.75" header="0.3" footer="0.3"/>
      <pageSetup paperSize="9" orientation="portrait" r:id="rId20"/>
    </customSheetView>
    <customSheetView guid="{AFADB96A-0516-43C1-9F1B-0604F3CAC04A}" scale="50">
      <pane xSplit="6" ySplit="7" topLeftCell="S11" activePane="bottomRight" state="frozen"/>
      <selection pane="bottomRight" activeCell="AH16" sqref="AH16"/>
      <pageMargins left="0.7" right="0.7" top="0.75" bottom="0.75" header="0.3" footer="0.3"/>
      <pageSetup paperSize="9" orientation="portrait" r:id="rId21"/>
    </customSheetView>
  </customSheetViews>
  <mergeCells count="69">
    <mergeCell ref="R4:S5"/>
    <mergeCell ref="T4:U5"/>
    <mergeCell ref="C2:S2"/>
    <mergeCell ref="C3:S3"/>
    <mergeCell ref="A4:A6"/>
    <mergeCell ref="B4:B6"/>
    <mergeCell ref="C4:C6"/>
    <mergeCell ref="D4:D5"/>
    <mergeCell ref="E4:E5"/>
    <mergeCell ref="F4:F5"/>
    <mergeCell ref="G4:G5"/>
    <mergeCell ref="H4:I5"/>
    <mergeCell ref="AH4:AH6"/>
    <mergeCell ref="A8:A10"/>
    <mergeCell ref="B8:B10"/>
    <mergeCell ref="B11:AG11"/>
    <mergeCell ref="A12:A13"/>
    <mergeCell ref="B12:B13"/>
    <mergeCell ref="V4:W5"/>
    <mergeCell ref="X4:Y5"/>
    <mergeCell ref="Z4:AA5"/>
    <mergeCell ref="AB4:AC5"/>
    <mergeCell ref="AD4:AE5"/>
    <mergeCell ref="AF4:AG5"/>
    <mergeCell ref="J4:K5"/>
    <mergeCell ref="L4:M5"/>
    <mergeCell ref="N4:O5"/>
    <mergeCell ref="P4:Q5"/>
    <mergeCell ref="A14:A15"/>
    <mergeCell ref="B14:B15"/>
    <mergeCell ref="A16:A17"/>
    <mergeCell ref="B16:B17"/>
    <mergeCell ref="A18:A19"/>
    <mergeCell ref="B18:B19"/>
    <mergeCell ref="A32:A33"/>
    <mergeCell ref="B32:B33"/>
    <mergeCell ref="B20:AG20"/>
    <mergeCell ref="A21:A22"/>
    <mergeCell ref="B21:B22"/>
    <mergeCell ref="B23:AG23"/>
    <mergeCell ref="A24:A25"/>
    <mergeCell ref="B24:B25"/>
    <mergeCell ref="B26:AG26"/>
    <mergeCell ref="A27:A29"/>
    <mergeCell ref="B27:B29"/>
    <mergeCell ref="A30:A31"/>
    <mergeCell ref="B30:B31"/>
    <mergeCell ref="A34:A35"/>
    <mergeCell ref="B34:B35"/>
    <mergeCell ref="B36:B37"/>
    <mergeCell ref="B38:B39"/>
    <mergeCell ref="A40:A41"/>
    <mergeCell ref="B40:B41"/>
    <mergeCell ref="A42:A44"/>
    <mergeCell ref="B42:B44"/>
    <mergeCell ref="A45:A46"/>
    <mergeCell ref="B45:B46"/>
    <mergeCell ref="A47:A48"/>
    <mergeCell ref="B47:B48"/>
    <mergeCell ref="A56:A57"/>
    <mergeCell ref="B56:B57"/>
    <mergeCell ref="A58:A59"/>
    <mergeCell ref="B58:B59"/>
    <mergeCell ref="B49:B50"/>
    <mergeCell ref="B51:AG51"/>
    <mergeCell ref="A52:A53"/>
    <mergeCell ref="B52:B53"/>
    <mergeCell ref="A54:A55"/>
    <mergeCell ref="B54:B55"/>
  </mergeCells>
  <pageMargins left="0.7" right="0.7" top="0.75" bottom="0.75" header="0.3" footer="0.3"/>
  <pageSetup paperSize="9" orientation="portrait" r:id="rId2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33"/>
  <sheetViews>
    <sheetView zoomScale="60" zoomScaleNormal="60" workbookViewId="0">
      <pane xSplit="6" ySplit="7" topLeftCell="R20" activePane="bottomRight" state="frozen"/>
      <selection pane="topRight" activeCell="G1" sqref="G1"/>
      <selection pane="bottomLeft" activeCell="A8" sqref="A8"/>
      <selection pane="bottomRight" activeCell="AH28" sqref="AH28"/>
    </sheetView>
  </sheetViews>
  <sheetFormatPr defaultColWidth="9.140625" defaultRowHeight="15" x14ac:dyDescent="0.25"/>
  <cols>
    <col min="1" max="1" width="6.5703125" style="8" customWidth="1"/>
    <col min="2" max="2" width="46.28515625" style="8" customWidth="1"/>
    <col min="3" max="3" width="18.5703125" style="9" customWidth="1"/>
    <col min="4" max="4" width="18" style="8" customWidth="1"/>
    <col min="5" max="5" width="14.7109375" style="8" customWidth="1"/>
    <col min="6" max="6" width="17.140625" style="8" customWidth="1"/>
    <col min="7" max="7" width="17.85546875" style="8" customWidth="1"/>
    <col min="8" max="8" width="12.140625" style="8" customWidth="1"/>
    <col min="9" max="9" width="10.85546875" style="8" customWidth="1"/>
    <col min="10" max="10" width="14.28515625" style="8" customWidth="1"/>
    <col min="11" max="11" width="13.5703125" style="8" customWidth="1"/>
    <col min="12" max="12" width="13.85546875" style="8" customWidth="1"/>
    <col min="13" max="13" width="13" style="8" customWidth="1"/>
    <col min="14" max="14" width="13.42578125" style="8" customWidth="1"/>
    <col min="15" max="15" width="11.5703125" style="8" customWidth="1"/>
    <col min="16" max="16" width="13.4257812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3.5703125" style="8" customWidth="1"/>
    <col min="27" max="27" width="11.5703125" style="8" customWidth="1"/>
    <col min="28" max="28" width="13" style="8" customWidth="1"/>
    <col min="29" max="29" width="11.5703125" style="8" customWidth="1"/>
    <col min="30" max="30" width="13.42578125" style="8" customWidth="1"/>
    <col min="31" max="31" width="11.5703125" style="8" customWidth="1"/>
    <col min="32" max="32" width="14.28515625" style="8" customWidth="1"/>
    <col min="33" max="33" width="11.5703125" style="8" customWidth="1"/>
    <col min="34" max="34" width="121.28515625" style="8" customWidth="1"/>
    <col min="35" max="16384" width="9.140625" style="8"/>
  </cols>
  <sheetData>
    <row r="1" spans="1:35" ht="23.25" customHeight="1" x14ac:dyDescent="0.25">
      <c r="C1" s="1"/>
      <c r="D1" s="2"/>
      <c r="E1" s="2"/>
      <c r="F1" s="2"/>
      <c r="G1" s="2"/>
      <c r="H1" s="2"/>
      <c r="I1" s="2"/>
      <c r="J1" s="3"/>
      <c r="K1" s="3"/>
      <c r="L1" s="3"/>
      <c r="M1" s="3"/>
      <c r="N1" s="3"/>
      <c r="O1" s="3"/>
      <c r="P1" s="3"/>
      <c r="Q1" s="3"/>
      <c r="R1" s="3"/>
      <c r="S1" s="3"/>
      <c r="T1" s="3"/>
      <c r="U1" s="3"/>
      <c r="V1" s="5"/>
      <c r="W1" s="5"/>
      <c r="X1" s="5"/>
      <c r="Y1" s="5"/>
      <c r="Z1" s="5"/>
      <c r="AA1" s="5"/>
      <c r="AB1" s="5"/>
      <c r="AC1" s="5"/>
      <c r="AD1" s="6"/>
      <c r="AE1" s="6"/>
      <c r="AF1" s="6"/>
      <c r="AG1" s="3"/>
      <c r="AH1" s="7"/>
    </row>
    <row r="2" spans="1:35" s="10" customFormat="1" ht="15.75" customHeight="1" x14ac:dyDescent="0.25">
      <c r="A2" s="55"/>
      <c r="B2" s="55"/>
      <c r="C2" s="346" t="s">
        <v>24</v>
      </c>
      <c r="D2" s="346"/>
      <c r="E2" s="346"/>
      <c r="F2" s="346"/>
      <c r="G2" s="346"/>
      <c r="H2" s="346"/>
      <c r="I2" s="346"/>
      <c r="J2" s="346"/>
      <c r="K2" s="346"/>
      <c r="L2" s="346"/>
      <c r="M2" s="346"/>
      <c r="N2" s="346"/>
      <c r="O2" s="346"/>
      <c r="P2" s="346"/>
      <c r="Q2" s="346"/>
      <c r="R2" s="346"/>
      <c r="S2" s="346"/>
      <c r="T2" s="35"/>
      <c r="U2" s="35"/>
      <c r="V2" s="35"/>
      <c r="W2" s="35"/>
      <c r="X2" s="35"/>
      <c r="Y2" s="35"/>
      <c r="Z2" s="35"/>
      <c r="AA2" s="35"/>
      <c r="AB2" s="35"/>
      <c r="AC2" s="35"/>
      <c r="AD2" s="35"/>
      <c r="AE2" s="35"/>
      <c r="AF2" s="35"/>
      <c r="AG2" s="35"/>
      <c r="AH2" s="35"/>
    </row>
    <row r="3" spans="1:35" s="10" customFormat="1" ht="36.75" customHeight="1" x14ac:dyDescent="0.25">
      <c r="A3" s="55"/>
      <c r="B3" s="92"/>
      <c r="C3" s="347" t="s">
        <v>173</v>
      </c>
      <c r="D3" s="347"/>
      <c r="E3" s="347"/>
      <c r="F3" s="347"/>
      <c r="G3" s="347"/>
      <c r="H3" s="347"/>
      <c r="I3" s="347"/>
      <c r="J3" s="347"/>
      <c r="K3" s="347"/>
      <c r="L3" s="347"/>
      <c r="M3" s="347"/>
      <c r="N3" s="347"/>
      <c r="O3" s="347"/>
      <c r="P3" s="347"/>
      <c r="Q3" s="347"/>
      <c r="R3" s="347"/>
      <c r="S3" s="347"/>
      <c r="T3" s="94"/>
      <c r="U3" s="94"/>
      <c r="V3" s="94"/>
      <c r="W3" s="94"/>
      <c r="X3" s="94"/>
      <c r="Y3" s="94"/>
      <c r="Z3" s="94"/>
      <c r="AA3" s="94"/>
      <c r="AB3" s="94"/>
      <c r="AC3" s="94"/>
      <c r="AD3" s="95"/>
      <c r="AE3" s="95"/>
      <c r="AF3" s="95"/>
      <c r="AG3" s="95" t="s">
        <v>0</v>
      </c>
      <c r="AH3" s="37"/>
    </row>
    <row r="4" spans="1:35" s="10" customFormat="1" ht="15" customHeight="1" x14ac:dyDescent="0.25">
      <c r="A4" s="348" t="s">
        <v>26</v>
      </c>
      <c r="B4" s="351" t="s">
        <v>29</v>
      </c>
      <c r="C4" s="351" t="s">
        <v>30</v>
      </c>
      <c r="D4" s="359"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10" customFormat="1" ht="39" customHeight="1" x14ac:dyDescent="0.25">
      <c r="A5" s="349"/>
      <c r="B5" s="352"/>
      <c r="C5" s="352"/>
      <c r="D5" s="536"/>
      <c r="E5" s="536"/>
      <c r="F5" s="536"/>
      <c r="G5" s="536"/>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5" s="10" customFormat="1" ht="64.5" customHeight="1" x14ac:dyDescent="0.25">
      <c r="A6" s="350"/>
      <c r="B6" s="353"/>
      <c r="C6" s="353"/>
      <c r="D6" s="38">
        <v>2025</v>
      </c>
      <c r="E6" s="39">
        <v>45717</v>
      </c>
      <c r="F6" s="39">
        <v>45717</v>
      </c>
      <c r="G6" s="39">
        <v>45716</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10" customFormat="1" ht="15.75" x14ac:dyDescent="0.25">
      <c r="A7" s="56">
        <v>1</v>
      </c>
      <c r="B7" s="56">
        <v>2</v>
      </c>
      <c r="C7" s="56">
        <v>3</v>
      </c>
      <c r="D7" s="56">
        <v>4</v>
      </c>
      <c r="E7" s="56">
        <v>5</v>
      </c>
      <c r="F7" s="56">
        <v>6</v>
      </c>
      <c r="G7" s="56">
        <v>7</v>
      </c>
      <c r="H7" s="56">
        <v>8</v>
      </c>
      <c r="I7" s="56">
        <v>9</v>
      </c>
      <c r="J7" s="56">
        <v>10</v>
      </c>
      <c r="K7" s="56">
        <v>11</v>
      </c>
      <c r="L7" s="56">
        <v>12</v>
      </c>
      <c r="M7" s="56">
        <v>13</v>
      </c>
      <c r="N7" s="56">
        <v>14</v>
      </c>
      <c r="O7" s="56">
        <v>15</v>
      </c>
      <c r="P7" s="56">
        <v>16</v>
      </c>
      <c r="Q7" s="56">
        <v>17</v>
      </c>
      <c r="R7" s="56">
        <v>18</v>
      </c>
      <c r="S7" s="56">
        <v>19</v>
      </c>
      <c r="T7" s="56">
        <v>20</v>
      </c>
      <c r="U7" s="56">
        <v>21</v>
      </c>
      <c r="V7" s="56">
        <v>22</v>
      </c>
      <c r="W7" s="56">
        <v>23</v>
      </c>
      <c r="X7" s="56">
        <v>24</v>
      </c>
      <c r="Y7" s="56">
        <v>25</v>
      </c>
      <c r="Z7" s="56">
        <v>26</v>
      </c>
      <c r="AA7" s="56">
        <v>27</v>
      </c>
      <c r="AB7" s="56">
        <v>28</v>
      </c>
      <c r="AC7" s="56">
        <v>29</v>
      </c>
      <c r="AD7" s="56">
        <v>30</v>
      </c>
      <c r="AE7" s="56">
        <v>31</v>
      </c>
      <c r="AF7" s="56">
        <v>32</v>
      </c>
      <c r="AG7" s="56">
        <v>33</v>
      </c>
      <c r="AH7" s="56">
        <v>34</v>
      </c>
    </row>
    <row r="8" spans="1:35" s="21" customFormat="1" ht="31.5" customHeight="1" x14ac:dyDescent="0.25">
      <c r="A8" s="413"/>
      <c r="B8" s="361" t="s">
        <v>23</v>
      </c>
      <c r="C8" s="57" t="s">
        <v>20</v>
      </c>
      <c r="D8" s="58">
        <f>SUM(J8,L8,N8,P8,R8,T8,V8,X8,Z8,AB8,AD8,AF8)</f>
        <v>657430.94935999997</v>
      </c>
      <c r="E8" s="58">
        <f>E9+E10</f>
        <v>98588.365239999999</v>
      </c>
      <c r="F8" s="58">
        <f t="shared" ref="F8:G8" si="0">F9+F10</f>
        <v>72236.497499999998</v>
      </c>
      <c r="G8" s="58">
        <f t="shared" si="0"/>
        <v>72236.497499999998</v>
      </c>
      <c r="H8" s="58">
        <f>IFERROR(G8/D8*100,0)</f>
        <v>10.987693471127461</v>
      </c>
      <c r="I8" s="58">
        <f>IFERROR(G8/E8*100,0)</f>
        <v>73.270813776199702</v>
      </c>
      <c r="J8" s="59">
        <f>J9+J10</f>
        <v>40788.748220000001</v>
      </c>
      <c r="K8" s="59">
        <f t="shared" ref="K8:AG8" si="1">K9+K10</f>
        <v>24412.943120000004</v>
      </c>
      <c r="L8" s="59">
        <f t="shared" si="1"/>
        <v>57799.617019999998</v>
      </c>
      <c r="M8" s="59">
        <f t="shared" si="1"/>
        <v>47823.554379999994</v>
      </c>
      <c r="N8" s="59">
        <f t="shared" si="1"/>
        <v>45800.555059999999</v>
      </c>
      <c r="O8" s="59">
        <f t="shared" si="1"/>
        <v>0</v>
      </c>
      <c r="P8" s="59">
        <f t="shared" si="1"/>
        <v>53962.267339999991</v>
      </c>
      <c r="Q8" s="59">
        <f t="shared" si="1"/>
        <v>0</v>
      </c>
      <c r="R8" s="59">
        <f t="shared" si="1"/>
        <v>56298.556780000006</v>
      </c>
      <c r="S8" s="59">
        <f t="shared" si="1"/>
        <v>0</v>
      </c>
      <c r="T8" s="59">
        <f t="shared" si="1"/>
        <v>47147.32589</v>
      </c>
      <c r="U8" s="59">
        <f t="shared" si="1"/>
        <v>0</v>
      </c>
      <c r="V8" s="59">
        <f t="shared" si="1"/>
        <v>52431.758719999998</v>
      </c>
      <c r="W8" s="59">
        <f t="shared" si="1"/>
        <v>0</v>
      </c>
      <c r="X8" s="59">
        <f t="shared" si="1"/>
        <v>44502.231689999993</v>
      </c>
      <c r="Y8" s="59">
        <f t="shared" si="1"/>
        <v>0</v>
      </c>
      <c r="Z8" s="59">
        <f t="shared" si="1"/>
        <v>41192.591379999998</v>
      </c>
      <c r="AA8" s="59">
        <f t="shared" si="1"/>
        <v>0</v>
      </c>
      <c r="AB8" s="59">
        <f t="shared" si="1"/>
        <v>49612.687510000003</v>
      </c>
      <c r="AC8" s="59">
        <f t="shared" si="1"/>
        <v>0</v>
      </c>
      <c r="AD8" s="59">
        <f t="shared" si="1"/>
        <v>82981.296409999995</v>
      </c>
      <c r="AE8" s="59">
        <f t="shared" si="1"/>
        <v>0</v>
      </c>
      <c r="AF8" s="59">
        <f>AF9+AF10</f>
        <v>84913.313339999993</v>
      </c>
      <c r="AG8" s="59">
        <f t="shared" si="1"/>
        <v>0</v>
      </c>
      <c r="AH8" s="60"/>
    </row>
    <row r="9" spans="1:35" s="22" customFormat="1" ht="38.25" customHeight="1" x14ac:dyDescent="0.25">
      <c r="A9" s="414"/>
      <c r="B9" s="362"/>
      <c r="C9" s="273" t="s">
        <v>21</v>
      </c>
      <c r="D9" s="62">
        <f>SUM(J9,L9,N9,P9,R9,T9,V9,X9,Z9,AB9,AD9,AF9)</f>
        <v>615155.89674999996</v>
      </c>
      <c r="E9" s="62">
        <f>J9+L9</f>
        <v>98588.365239999999</v>
      </c>
      <c r="F9" s="62">
        <f>G9</f>
        <v>72236.497499999998</v>
      </c>
      <c r="G9" s="62">
        <f>G13+G20+G25</f>
        <v>72236.497499999998</v>
      </c>
      <c r="H9" s="62">
        <f t="shared" ref="H9:H10" si="2">IFERROR(G9/D9*100,0)</f>
        <v>11.742795262410853</v>
      </c>
      <c r="I9" s="62">
        <f t="shared" ref="I9:I10" si="3">IFERROR(G9/E9*100,0)</f>
        <v>73.270813776199702</v>
      </c>
      <c r="J9" s="62">
        <f>J12+J19+J24</f>
        <v>40788.748220000001</v>
      </c>
      <c r="K9" s="62">
        <f t="shared" ref="K9:AG9" si="4">K12+K19+K24</f>
        <v>24412.943120000004</v>
      </c>
      <c r="L9" s="62">
        <f t="shared" si="4"/>
        <v>57799.617019999998</v>
      </c>
      <c r="M9" s="62">
        <f t="shared" si="4"/>
        <v>47823.554379999994</v>
      </c>
      <c r="N9" s="62">
        <f t="shared" si="4"/>
        <v>45800.555059999999</v>
      </c>
      <c r="O9" s="62">
        <f t="shared" si="4"/>
        <v>0</v>
      </c>
      <c r="P9" s="62">
        <f t="shared" si="4"/>
        <v>53962.267339999991</v>
      </c>
      <c r="Q9" s="62">
        <f t="shared" si="4"/>
        <v>0</v>
      </c>
      <c r="R9" s="62">
        <f t="shared" si="4"/>
        <v>56298.556780000006</v>
      </c>
      <c r="S9" s="62">
        <f t="shared" si="4"/>
        <v>0</v>
      </c>
      <c r="T9" s="62">
        <f t="shared" si="4"/>
        <v>47147.32589</v>
      </c>
      <c r="U9" s="62">
        <f t="shared" si="4"/>
        <v>0</v>
      </c>
      <c r="V9" s="62">
        <f t="shared" si="4"/>
        <v>52431.758719999998</v>
      </c>
      <c r="W9" s="62">
        <f t="shared" si="4"/>
        <v>0</v>
      </c>
      <c r="X9" s="62">
        <f t="shared" si="4"/>
        <v>44502.231689999993</v>
      </c>
      <c r="Y9" s="62">
        <f t="shared" si="4"/>
        <v>0</v>
      </c>
      <c r="Z9" s="62">
        <f t="shared" si="4"/>
        <v>41192.591379999998</v>
      </c>
      <c r="AA9" s="62">
        <f t="shared" si="4"/>
        <v>0</v>
      </c>
      <c r="AB9" s="62">
        <f t="shared" si="4"/>
        <v>49612.687510000003</v>
      </c>
      <c r="AC9" s="62">
        <f t="shared" si="4"/>
        <v>0</v>
      </c>
      <c r="AD9" s="62">
        <f>AD13+AD19+AD24</f>
        <v>62981.296409999995</v>
      </c>
      <c r="AE9" s="62">
        <f t="shared" si="4"/>
        <v>0</v>
      </c>
      <c r="AF9" s="62">
        <f>AF13+AF19+AF24</f>
        <v>62638.260730000002</v>
      </c>
      <c r="AG9" s="62">
        <f t="shared" si="4"/>
        <v>0</v>
      </c>
      <c r="AH9" s="64"/>
    </row>
    <row r="10" spans="1:35" s="22" customFormat="1" ht="38.25" customHeight="1" x14ac:dyDescent="0.25">
      <c r="A10" s="415"/>
      <c r="B10" s="363"/>
      <c r="C10" s="65" t="s">
        <v>40</v>
      </c>
      <c r="D10" s="62">
        <f>SUM(J10,L10,N10,P10,R10,T10,V10,X10,Z10,AB10,AD10,AF10)</f>
        <v>42275.052609999999</v>
      </c>
      <c r="E10" s="62">
        <f>J10+L10</f>
        <v>0</v>
      </c>
      <c r="F10" s="62">
        <f>G10</f>
        <v>0</v>
      </c>
      <c r="G10" s="74">
        <f>SUM(K10,M10,O10,Q10,S10,U10,W10,Y10,AA10,AC10,AE10,AG10)</f>
        <v>0</v>
      </c>
      <c r="H10" s="62">
        <f t="shared" si="2"/>
        <v>0</v>
      </c>
      <c r="I10" s="62">
        <f t="shared" si="3"/>
        <v>0</v>
      </c>
      <c r="J10" s="62">
        <f>J17</f>
        <v>0</v>
      </c>
      <c r="K10" s="62">
        <f t="shared" ref="K10:AG10" si="5">K17</f>
        <v>0</v>
      </c>
      <c r="L10" s="62">
        <f t="shared" si="5"/>
        <v>0</v>
      </c>
      <c r="M10" s="62">
        <f t="shared" si="5"/>
        <v>0</v>
      </c>
      <c r="N10" s="62">
        <f t="shared" si="5"/>
        <v>0</v>
      </c>
      <c r="O10" s="62">
        <f t="shared" si="5"/>
        <v>0</v>
      </c>
      <c r="P10" s="62">
        <f t="shared" si="5"/>
        <v>0</v>
      </c>
      <c r="Q10" s="62">
        <f t="shared" si="5"/>
        <v>0</v>
      </c>
      <c r="R10" s="62">
        <f t="shared" si="5"/>
        <v>0</v>
      </c>
      <c r="S10" s="62">
        <f t="shared" si="5"/>
        <v>0</v>
      </c>
      <c r="T10" s="62">
        <f t="shared" si="5"/>
        <v>0</v>
      </c>
      <c r="U10" s="62">
        <f t="shared" si="5"/>
        <v>0</v>
      </c>
      <c r="V10" s="62">
        <f t="shared" si="5"/>
        <v>0</v>
      </c>
      <c r="W10" s="62">
        <f t="shared" si="5"/>
        <v>0</v>
      </c>
      <c r="X10" s="62">
        <f t="shared" si="5"/>
        <v>0</v>
      </c>
      <c r="Y10" s="62">
        <f t="shared" si="5"/>
        <v>0</v>
      </c>
      <c r="Z10" s="62">
        <f t="shared" si="5"/>
        <v>0</v>
      </c>
      <c r="AA10" s="62">
        <f t="shared" si="5"/>
        <v>0</v>
      </c>
      <c r="AB10" s="62">
        <f t="shared" si="5"/>
        <v>0</v>
      </c>
      <c r="AC10" s="62">
        <f t="shared" si="5"/>
        <v>0</v>
      </c>
      <c r="AD10" s="62">
        <f t="shared" si="5"/>
        <v>20000</v>
      </c>
      <c r="AE10" s="62">
        <f t="shared" si="5"/>
        <v>0</v>
      </c>
      <c r="AF10" s="62">
        <f t="shared" si="5"/>
        <v>22275.052609999999</v>
      </c>
      <c r="AG10" s="62">
        <f t="shared" si="5"/>
        <v>0</v>
      </c>
      <c r="AH10" s="64"/>
    </row>
    <row r="11" spans="1:35" s="26" customFormat="1" ht="18.75" customHeight="1" x14ac:dyDescent="0.25">
      <c r="A11" s="132" t="s">
        <v>152</v>
      </c>
      <c r="B11" s="426" t="s">
        <v>174</v>
      </c>
      <c r="C11" s="427"/>
      <c r="D11" s="427"/>
      <c r="E11" s="427"/>
      <c r="F11" s="427"/>
      <c r="G11" s="427"/>
      <c r="H11" s="427"/>
      <c r="I11" s="427"/>
      <c r="J11" s="427"/>
      <c r="K11" s="427"/>
      <c r="L11" s="427"/>
      <c r="M11" s="427"/>
      <c r="N11" s="427"/>
      <c r="O11" s="427"/>
      <c r="P11" s="427"/>
      <c r="Q11" s="427"/>
      <c r="R11" s="427"/>
      <c r="S11" s="427"/>
      <c r="T11" s="427"/>
      <c r="U11" s="427"/>
      <c r="V11" s="427"/>
      <c r="W11" s="427"/>
      <c r="X11" s="427"/>
      <c r="Y11" s="427"/>
      <c r="Z11" s="427"/>
      <c r="AA11" s="427"/>
      <c r="AB11" s="427"/>
      <c r="AC11" s="427"/>
      <c r="AD11" s="427"/>
      <c r="AE11" s="427"/>
      <c r="AF11" s="427"/>
      <c r="AG11" s="428"/>
      <c r="AH11" s="75"/>
    </row>
    <row r="12" spans="1:35" s="21" customFormat="1" ht="79.5" customHeight="1" x14ac:dyDescent="0.25">
      <c r="A12" s="413" t="s">
        <v>37</v>
      </c>
      <c r="B12" s="361" t="s">
        <v>175</v>
      </c>
      <c r="C12" s="69" t="s">
        <v>20</v>
      </c>
      <c r="D12" s="70">
        <f t="shared" ref="D12:D17" si="6">SUM(J12,L12,N12,P12,R12,T12,V12,X12,Z12,AB12,AD12,AF12)</f>
        <v>126357.54552999999</v>
      </c>
      <c r="E12" s="58">
        <f>E13</f>
        <v>7639.8942800000004</v>
      </c>
      <c r="F12" s="58">
        <f>F13</f>
        <v>5850.8736800000006</v>
      </c>
      <c r="G12" s="58">
        <f>G13</f>
        <v>5850.8736800000006</v>
      </c>
      <c r="H12" s="58">
        <f>IFERROR(G12/D12*100,0)</f>
        <v>4.6304109940240004</v>
      </c>
      <c r="I12" s="58">
        <f>IFERROR(G12/E12*100,0)</f>
        <v>76.583175965099883</v>
      </c>
      <c r="J12" s="59">
        <f>J13+J14</f>
        <v>7639.8942800000004</v>
      </c>
      <c r="K12" s="59">
        <f t="shared" ref="K12:AG12" si="7">K13+K14</f>
        <v>2702.3260300000002</v>
      </c>
      <c r="L12" s="59">
        <f t="shared" si="7"/>
        <v>7460.5585199999996</v>
      </c>
      <c r="M12" s="59">
        <f t="shared" si="7"/>
        <v>3148.54765</v>
      </c>
      <c r="N12" s="59">
        <f t="shared" si="7"/>
        <v>2716.1626999999999</v>
      </c>
      <c r="O12" s="59">
        <f t="shared" si="7"/>
        <v>0</v>
      </c>
      <c r="P12" s="59">
        <f t="shared" si="7"/>
        <v>5633.5296600000001</v>
      </c>
      <c r="Q12" s="59">
        <f t="shared" si="7"/>
        <v>0</v>
      </c>
      <c r="R12" s="59">
        <f t="shared" si="7"/>
        <v>12347.84396</v>
      </c>
      <c r="S12" s="59">
        <f t="shared" si="7"/>
        <v>0</v>
      </c>
      <c r="T12" s="59">
        <f t="shared" si="7"/>
        <v>1894.8565900000001</v>
      </c>
      <c r="U12" s="59">
        <f t="shared" si="7"/>
        <v>0</v>
      </c>
      <c r="V12" s="59">
        <f t="shared" si="7"/>
        <v>4302.2439599999998</v>
      </c>
      <c r="W12" s="59">
        <f t="shared" si="7"/>
        <v>0</v>
      </c>
      <c r="X12" s="59">
        <f t="shared" si="7"/>
        <v>1677.8565799999999</v>
      </c>
      <c r="Y12" s="59">
        <f t="shared" si="7"/>
        <v>0</v>
      </c>
      <c r="Z12" s="59">
        <f t="shared" si="7"/>
        <v>1900.4566</v>
      </c>
      <c r="AA12" s="59">
        <f t="shared" si="7"/>
        <v>0</v>
      </c>
      <c r="AB12" s="59">
        <f t="shared" si="7"/>
        <v>6813.2689600000003</v>
      </c>
      <c r="AC12" s="59">
        <f t="shared" si="7"/>
        <v>0</v>
      </c>
      <c r="AD12" s="59">
        <f t="shared" si="7"/>
        <v>44377.98158</v>
      </c>
      <c r="AE12" s="59">
        <f t="shared" si="7"/>
        <v>0</v>
      </c>
      <c r="AF12" s="59">
        <f t="shared" si="7"/>
        <v>29592.89214</v>
      </c>
      <c r="AG12" s="59">
        <f t="shared" si="7"/>
        <v>0</v>
      </c>
      <c r="AH12" s="533" t="s">
        <v>330</v>
      </c>
      <c r="AI12" s="23"/>
    </row>
    <row r="13" spans="1:35" s="21" customFormat="1" ht="79.5" customHeight="1" x14ac:dyDescent="0.25">
      <c r="A13" s="414"/>
      <c r="B13" s="362"/>
      <c r="C13" s="273" t="s">
        <v>21</v>
      </c>
      <c r="D13" s="62">
        <f t="shared" si="6"/>
        <v>84082.49291999999</v>
      </c>
      <c r="E13" s="62">
        <f>J13</f>
        <v>7639.8942800000004</v>
      </c>
      <c r="F13" s="62">
        <f>G13</f>
        <v>5850.8736800000006</v>
      </c>
      <c r="G13" s="62">
        <f>SUM(K13,M13,O13,Q13,S13,U13,W13,Y13,AA13,AC13,AE13,AG13)</f>
        <v>5850.8736800000006</v>
      </c>
      <c r="H13" s="62">
        <f>IFERROR(G13/D13*100,0)</f>
        <v>6.958492162651261</v>
      </c>
      <c r="I13" s="62">
        <f t="shared" ref="I13:I17" si="8">IFERROR(G13/E13*100,0)</f>
        <v>76.583175965099883</v>
      </c>
      <c r="J13" s="63">
        <f>J16</f>
        <v>7639.8942800000004</v>
      </c>
      <c r="K13" s="63">
        <f t="shared" ref="K13:AF13" si="9">K16</f>
        <v>2702.3260300000002</v>
      </c>
      <c r="L13" s="63">
        <f t="shared" si="9"/>
        <v>7460.5585199999996</v>
      </c>
      <c r="M13" s="63">
        <f t="shared" si="9"/>
        <v>3148.54765</v>
      </c>
      <c r="N13" s="63">
        <f t="shared" si="9"/>
        <v>2716.1626999999999</v>
      </c>
      <c r="O13" s="63">
        <f t="shared" si="9"/>
        <v>0</v>
      </c>
      <c r="P13" s="63">
        <f t="shared" si="9"/>
        <v>5633.5296600000001</v>
      </c>
      <c r="Q13" s="63">
        <f t="shared" si="9"/>
        <v>0</v>
      </c>
      <c r="R13" s="63">
        <f t="shared" si="9"/>
        <v>12347.84396</v>
      </c>
      <c r="S13" s="63">
        <f t="shared" si="9"/>
        <v>0</v>
      </c>
      <c r="T13" s="63">
        <f t="shared" si="9"/>
        <v>1894.8565900000001</v>
      </c>
      <c r="U13" s="63">
        <f t="shared" si="9"/>
        <v>0</v>
      </c>
      <c r="V13" s="63">
        <f t="shared" si="9"/>
        <v>4302.2439599999998</v>
      </c>
      <c r="W13" s="63">
        <f t="shared" si="9"/>
        <v>0</v>
      </c>
      <c r="X13" s="63">
        <f t="shared" si="9"/>
        <v>1677.8565799999999</v>
      </c>
      <c r="Y13" s="63">
        <f t="shared" si="9"/>
        <v>0</v>
      </c>
      <c r="Z13" s="63">
        <f t="shared" si="9"/>
        <v>1900.4566</v>
      </c>
      <c r="AA13" s="63">
        <f t="shared" si="9"/>
        <v>0</v>
      </c>
      <c r="AB13" s="63">
        <f t="shared" si="9"/>
        <v>6813.2689600000003</v>
      </c>
      <c r="AC13" s="63">
        <f t="shared" si="9"/>
        <v>0</v>
      </c>
      <c r="AD13" s="63">
        <f t="shared" si="9"/>
        <v>24377.98158</v>
      </c>
      <c r="AE13" s="63">
        <f t="shared" si="9"/>
        <v>0</v>
      </c>
      <c r="AF13" s="63">
        <f t="shared" si="9"/>
        <v>7317.8395300000002</v>
      </c>
      <c r="AG13" s="63">
        <f>AG16</f>
        <v>0</v>
      </c>
      <c r="AH13" s="534"/>
      <c r="AI13" s="23"/>
    </row>
    <row r="14" spans="1:35" s="21" customFormat="1" ht="79.5" customHeight="1" x14ac:dyDescent="0.25">
      <c r="A14" s="271"/>
      <c r="B14" s="363"/>
      <c r="C14" s="65" t="s">
        <v>40</v>
      </c>
      <c r="D14" s="62">
        <f t="shared" si="6"/>
        <v>42275.052609999999</v>
      </c>
      <c r="E14" s="74">
        <f>J14+L14</f>
        <v>0</v>
      </c>
      <c r="F14" s="74">
        <f>G14</f>
        <v>0</v>
      </c>
      <c r="G14" s="74">
        <f>SUM(K14,M14,O14,Q14,S14,U14,W14,Y14,AA14,AC14,AE14,AG14)</f>
        <v>0</v>
      </c>
      <c r="H14" s="62">
        <f t="shared" ref="H14:H17" si="10">IFERROR(G14/D14*100,0)</f>
        <v>0</v>
      </c>
      <c r="I14" s="62">
        <f t="shared" si="8"/>
        <v>0</v>
      </c>
      <c r="J14" s="63">
        <f>J17</f>
        <v>0</v>
      </c>
      <c r="K14" s="63">
        <f t="shared" ref="K14:AG14" si="11">K17</f>
        <v>0</v>
      </c>
      <c r="L14" s="63">
        <f t="shared" si="11"/>
        <v>0</v>
      </c>
      <c r="M14" s="63">
        <f t="shared" si="11"/>
        <v>0</v>
      </c>
      <c r="N14" s="63">
        <f t="shared" si="11"/>
        <v>0</v>
      </c>
      <c r="O14" s="63">
        <f t="shared" si="11"/>
        <v>0</v>
      </c>
      <c r="P14" s="63">
        <f t="shared" si="11"/>
        <v>0</v>
      </c>
      <c r="Q14" s="63">
        <f t="shared" si="11"/>
        <v>0</v>
      </c>
      <c r="R14" s="63">
        <f t="shared" si="11"/>
        <v>0</v>
      </c>
      <c r="S14" s="63">
        <f t="shared" si="11"/>
        <v>0</v>
      </c>
      <c r="T14" s="63">
        <f t="shared" si="11"/>
        <v>0</v>
      </c>
      <c r="U14" s="63">
        <f t="shared" si="11"/>
        <v>0</v>
      </c>
      <c r="V14" s="63">
        <f t="shared" si="11"/>
        <v>0</v>
      </c>
      <c r="W14" s="63">
        <f t="shared" si="11"/>
        <v>0</v>
      </c>
      <c r="X14" s="63">
        <f t="shared" si="11"/>
        <v>0</v>
      </c>
      <c r="Y14" s="63">
        <f t="shared" si="11"/>
        <v>0</v>
      </c>
      <c r="Z14" s="63">
        <f t="shared" si="11"/>
        <v>0</v>
      </c>
      <c r="AA14" s="63">
        <f t="shared" si="11"/>
        <v>0</v>
      </c>
      <c r="AB14" s="63">
        <f t="shared" si="11"/>
        <v>0</v>
      </c>
      <c r="AC14" s="63">
        <f t="shared" si="11"/>
        <v>0</v>
      </c>
      <c r="AD14" s="63">
        <f t="shared" si="11"/>
        <v>20000</v>
      </c>
      <c r="AE14" s="63">
        <f t="shared" si="11"/>
        <v>0</v>
      </c>
      <c r="AF14" s="63">
        <f t="shared" si="11"/>
        <v>22275.052609999999</v>
      </c>
      <c r="AG14" s="63">
        <f t="shared" si="11"/>
        <v>0</v>
      </c>
      <c r="AH14" s="534"/>
      <c r="AI14" s="23"/>
    </row>
    <row r="15" spans="1:35" s="100" customFormat="1" ht="79.5" customHeight="1" x14ac:dyDescent="0.25">
      <c r="A15" s="441"/>
      <c r="B15" s="477" t="s">
        <v>331</v>
      </c>
      <c r="C15" s="108" t="s">
        <v>20</v>
      </c>
      <c r="D15" s="70">
        <f t="shared" si="6"/>
        <v>126357.54552999999</v>
      </c>
      <c r="E15" s="70">
        <f>E16+E17</f>
        <v>15100.452799999999</v>
      </c>
      <c r="F15" s="70">
        <f>F16+F17</f>
        <v>5850.8736800000006</v>
      </c>
      <c r="G15" s="70">
        <f>G16+G17</f>
        <v>5850.8736800000006</v>
      </c>
      <c r="H15" s="58">
        <f t="shared" si="10"/>
        <v>4.6304109940240004</v>
      </c>
      <c r="I15" s="58">
        <f t="shared" si="8"/>
        <v>38.746345937388057</v>
      </c>
      <c r="J15" s="71">
        <f>J16+J17</f>
        <v>7639.8942800000004</v>
      </c>
      <c r="K15" s="71">
        <f t="shared" ref="K15:AG15" si="12">K16+K17</f>
        <v>2702.3260300000002</v>
      </c>
      <c r="L15" s="71">
        <f t="shared" si="12"/>
        <v>7460.5585199999996</v>
      </c>
      <c r="M15" s="71">
        <f t="shared" si="12"/>
        <v>3148.54765</v>
      </c>
      <c r="N15" s="71">
        <f t="shared" si="12"/>
        <v>2716.1626999999999</v>
      </c>
      <c r="O15" s="71">
        <f t="shared" si="12"/>
        <v>0</v>
      </c>
      <c r="P15" s="71">
        <f t="shared" si="12"/>
        <v>5633.5296600000001</v>
      </c>
      <c r="Q15" s="71">
        <f t="shared" si="12"/>
        <v>0</v>
      </c>
      <c r="R15" s="71">
        <f t="shared" si="12"/>
        <v>12347.84396</v>
      </c>
      <c r="S15" s="71">
        <f t="shared" si="12"/>
        <v>0</v>
      </c>
      <c r="T15" s="71">
        <f t="shared" si="12"/>
        <v>1894.8565900000001</v>
      </c>
      <c r="U15" s="71">
        <f t="shared" si="12"/>
        <v>0</v>
      </c>
      <c r="V15" s="71">
        <f t="shared" si="12"/>
        <v>4302.2439599999998</v>
      </c>
      <c r="W15" s="71">
        <f t="shared" si="12"/>
        <v>0</v>
      </c>
      <c r="X15" s="71">
        <f t="shared" si="12"/>
        <v>1677.8565799999999</v>
      </c>
      <c r="Y15" s="71">
        <f t="shared" si="12"/>
        <v>0</v>
      </c>
      <c r="Z15" s="71">
        <f t="shared" si="12"/>
        <v>1900.4566</v>
      </c>
      <c r="AA15" s="71">
        <f t="shared" si="12"/>
        <v>0</v>
      </c>
      <c r="AB15" s="71">
        <f t="shared" si="12"/>
        <v>6813.2689600000003</v>
      </c>
      <c r="AC15" s="71">
        <f t="shared" si="12"/>
        <v>0</v>
      </c>
      <c r="AD15" s="71">
        <f t="shared" si="12"/>
        <v>44377.98158</v>
      </c>
      <c r="AE15" s="71">
        <f t="shared" si="12"/>
        <v>0</v>
      </c>
      <c r="AF15" s="71">
        <f t="shared" si="12"/>
        <v>29592.89214</v>
      </c>
      <c r="AG15" s="71">
        <f t="shared" si="12"/>
        <v>0</v>
      </c>
      <c r="AH15" s="534"/>
      <c r="AI15" s="106"/>
    </row>
    <row r="16" spans="1:35" s="33" customFormat="1" ht="79.5" customHeight="1" x14ac:dyDescent="0.25">
      <c r="A16" s="443"/>
      <c r="B16" s="481"/>
      <c r="C16" s="112" t="s">
        <v>21</v>
      </c>
      <c r="D16" s="74">
        <f t="shared" si="6"/>
        <v>84082.49291999999</v>
      </c>
      <c r="E16" s="74">
        <f>J16+L16</f>
        <v>15100.452799999999</v>
      </c>
      <c r="F16" s="74">
        <f>G16</f>
        <v>5850.8736800000006</v>
      </c>
      <c r="G16" s="74">
        <f>SUM(K16,M16,O16,Q16,S16,U16,W16,Y16,AA16,AC16,AE16,AG16)</f>
        <v>5850.8736800000006</v>
      </c>
      <c r="H16" s="62">
        <f t="shared" si="10"/>
        <v>6.958492162651261</v>
      </c>
      <c r="I16" s="62">
        <f t="shared" si="8"/>
        <v>38.746345937388057</v>
      </c>
      <c r="J16" s="67">
        <v>7639.8942800000004</v>
      </c>
      <c r="K16" s="67">
        <v>2702.3260300000002</v>
      </c>
      <c r="L16" s="67">
        <v>7460.5585199999996</v>
      </c>
      <c r="M16" s="67">
        <v>3148.54765</v>
      </c>
      <c r="N16" s="67">
        <v>2716.1626999999999</v>
      </c>
      <c r="O16" s="67">
        <v>0</v>
      </c>
      <c r="P16" s="67">
        <v>5633.5296600000001</v>
      </c>
      <c r="Q16" s="67">
        <v>0</v>
      </c>
      <c r="R16" s="67">
        <v>12347.84396</v>
      </c>
      <c r="S16" s="67">
        <v>0</v>
      </c>
      <c r="T16" s="67">
        <v>1894.8565900000001</v>
      </c>
      <c r="U16" s="67">
        <v>0</v>
      </c>
      <c r="V16" s="67">
        <v>4302.2439599999998</v>
      </c>
      <c r="W16" s="67">
        <v>0</v>
      </c>
      <c r="X16" s="67">
        <v>1677.8565799999999</v>
      </c>
      <c r="Y16" s="67">
        <v>0</v>
      </c>
      <c r="Z16" s="67">
        <v>1900.4566</v>
      </c>
      <c r="AA16" s="67">
        <v>0</v>
      </c>
      <c r="AB16" s="67">
        <v>6813.2689600000003</v>
      </c>
      <c r="AC16" s="67">
        <v>0</v>
      </c>
      <c r="AD16" s="67">
        <v>24377.98158</v>
      </c>
      <c r="AE16" s="67">
        <v>0</v>
      </c>
      <c r="AF16" s="67">
        <v>7317.8395300000002</v>
      </c>
      <c r="AG16" s="67">
        <v>0</v>
      </c>
      <c r="AH16" s="534"/>
      <c r="AI16" s="106"/>
    </row>
    <row r="17" spans="1:35" s="33" customFormat="1" ht="79.5" customHeight="1" x14ac:dyDescent="0.25">
      <c r="A17" s="272"/>
      <c r="B17" s="478"/>
      <c r="C17" s="65" t="s">
        <v>40</v>
      </c>
      <c r="D17" s="74">
        <f t="shared" si="6"/>
        <v>42275.052609999999</v>
      </c>
      <c r="E17" s="74">
        <f>J17+L17</f>
        <v>0</v>
      </c>
      <c r="F17" s="74">
        <f>G17</f>
        <v>0</v>
      </c>
      <c r="G17" s="74">
        <f>SUM(K17,M17,O17,Q17,S17,U17,W17,Y17,AA17,AC17,AE17,AG17)</f>
        <v>0</v>
      </c>
      <c r="H17" s="62">
        <f t="shared" si="10"/>
        <v>0</v>
      </c>
      <c r="I17" s="62">
        <f t="shared" si="8"/>
        <v>0</v>
      </c>
      <c r="J17" s="62">
        <v>0</v>
      </c>
      <c r="K17" s="62">
        <v>0</v>
      </c>
      <c r="L17" s="62">
        <v>0</v>
      </c>
      <c r="M17" s="62">
        <v>0</v>
      </c>
      <c r="N17" s="62">
        <v>0</v>
      </c>
      <c r="O17" s="62">
        <v>0</v>
      </c>
      <c r="P17" s="62">
        <v>0</v>
      </c>
      <c r="Q17" s="62">
        <v>0</v>
      </c>
      <c r="R17" s="62">
        <v>0</v>
      </c>
      <c r="S17" s="62">
        <v>0</v>
      </c>
      <c r="T17" s="62">
        <v>0</v>
      </c>
      <c r="U17" s="62">
        <v>0</v>
      </c>
      <c r="V17" s="62">
        <v>0</v>
      </c>
      <c r="W17" s="62">
        <v>0</v>
      </c>
      <c r="X17" s="62">
        <v>0</v>
      </c>
      <c r="Y17" s="62">
        <v>0</v>
      </c>
      <c r="Z17" s="62">
        <v>0</v>
      </c>
      <c r="AA17" s="62">
        <v>0</v>
      </c>
      <c r="AB17" s="62">
        <v>0</v>
      </c>
      <c r="AC17" s="62">
        <v>0</v>
      </c>
      <c r="AD17" s="62">
        <v>20000</v>
      </c>
      <c r="AE17" s="62">
        <v>0</v>
      </c>
      <c r="AF17" s="62">
        <v>22275.052609999999</v>
      </c>
      <c r="AG17" s="62">
        <v>0</v>
      </c>
      <c r="AH17" s="535"/>
      <c r="AI17" s="106"/>
    </row>
    <row r="18" spans="1:35" s="134" customFormat="1" ht="21" customHeight="1" x14ac:dyDescent="0.25">
      <c r="A18" s="132" t="s">
        <v>154</v>
      </c>
      <c r="B18" s="426" t="s">
        <v>32</v>
      </c>
      <c r="C18" s="427"/>
      <c r="D18" s="427"/>
      <c r="E18" s="427"/>
      <c r="F18" s="427"/>
      <c r="G18" s="427"/>
      <c r="H18" s="427"/>
      <c r="I18" s="427"/>
      <c r="J18" s="427"/>
      <c r="K18" s="427"/>
      <c r="L18" s="427"/>
      <c r="M18" s="427"/>
      <c r="N18" s="427"/>
      <c r="O18" s="427"/>
      <c r="P18" s="427"/>
      <c r="Q18" s="427"/>
      <c r="R18" s="427"/>
      <c r="S18" s="427"/>
      <c r="T18" s="427"/>
      <c r="U18" s="427"/>
      <c r="V18" s="427"/>
      <c r="W18" s="427"/>
      <c r="X18" s="427"/>
      <c r="Y18" s="427"/>
      <c r="Z18" s="427"/>
      <c r="AA18" s="427"/>
      <c r="AB18" s="427"/>
      <c r="AC18" s="427"/>
      <c r="AD18" s="427"/>
      <c r="AE18" s="427"/>
      <c r="AF18" s="427"/>
      <c r="AG18" s="428"/>
      <c r="AH18" s="43"/>
      <c r="AI18" s="133"/>
    </row>
    <row r="19" spans="1:35" s="21" customFormat="1" ht="57.75" customHeight="1" x14ac:dyDescent="0.25">
      <c r="A19" s="413" t="s">
        <v>38</v>
      </c>
      <c r="B19" s="361" t="s">
        <v>34</v>
      </c>
      <c r="C19" s="57" t="s">
        <v>20</v>
      </c>
      <c r="D19" s="70">
        <f>SUM(J19,L19,N19,P19,R19,T19,V19,X19,Z19,AB19,AD19,AF19)</f>
        <v>41589.599999999999</v>
      </c>
      <c r="E19" s="58">
        <f>E20</f>
        <v>6240.2985200000003</v>
      </c>
      <c r="F19" s="58">
        <f>F20</f>
        <v>7871.6679699999995</v>
      </c>
      <c r="G19" s="58">
        <f>G20</f>
        <v>7871.6679699999995</v>
      </c>
      <c r="H19" s="58">
        <f>IFERROR(G19/D19*100,0)</f>
        <v>18.927010526670131</v>
      </c>
      <c r="I19" s="58">
        <f>IFERROR(G19/E19*100,0)</f>
        <v>126.14249053585338</v>
      </c>
      <c r="J19" s="59">
        <f t="shared" ref="J19:AF19" si="13">J20</f>
        <v>6240.2985200000003</v>
      </c>
      <c r="K19" s="59">
        <f t="shared" si="13"/>
        <v>2767.8380699999998</v>
      </c>
      <c r="L19" s="59">
        <f t="shared" si="13"/>
        <v>5678.0733799999998</v>
      </c>
      <c r="M19" s="59">
        <f t="shared" si="13"/>
        <v>5103.8298999999997</v>
      </c>
      <c r="N19" s="59">
        <f t="shared" si="13"/>
        <v>2757.4114399999999</v>
      </c>
      <c r="O19" s="59">
        <f t="shared" si="13"/>
        <v>0</v>
      </c>
      <c r="P19" s="59">
        <f t="shared" si="13"/>
        <v>3185.3745600000002</v>
      </c>
      <c r="Q19" s="59">
        <f t="shared" si="13"/>
        <v>0</v>
      </c>
      <c r="R19" s="59">
        <f t="shared" si="13"/>
        <v>2713.5567299999998</v>
      </c>
      <c r="S19" s="59">
        <f t="shared" si="13"/>
        <v>0</v>
      </c>
      <c r="T19" s="59">
        <f t="shared" si="13"/>
        <v>3223.0283199999999</v>
      </c>
      <c r="U19" s="59">
        <f t="shared" si="13"/>
        <v>0</v>
      </c>
      <c r="V19" s="59">
        <f t="shared" si="13"/>
        <v>3219.1702500000001</v>
      </c>
      <c r="W19" s="59">
        <f t="shared" si="13"/>
        <v>0</v>
      </c>
      <c r="X19" s="59">
        <f t="shared" si="13"/>
        <v>2732.6763299999998</v>
      </c>
      <c r="Y19" s="59">
        <f t="shared" si="13"/>
        <v>0</v>
      </c>
      <c r="Z19" s="59">
        <f t="shared" si="13"/>
        <v>2733.16705</v>
      </c>
      <c r="AA19" s="59">
        <f t="shared" si="13"/>
        <v>0</v>
      </c>
      <c r="AB19" s="59">
        <f t="shared" si="13"/>
        <v>2995.9812700000002</v>
      </c>
      <c r="AC19" s="59">
        <f t="shared" si="13"/>
        <v>0</v>
      </c>
      <c r="AD19" s="59">
        <f t="shared" si="13"/>
        <v>2803.2162800000001</v>
      </c>
      <c r="AE19" s="59">
        <f t="shared" si="13"/>
        <v>0</v>
      </c>
      <c r="AF19" s="59">
        <f t="shared" si="13"/>
        <v>3307.6458699999998</v>
      </c>
      <c r="AG19" s="59">
        <f>AG20</f>
        <v>0</v>
      </c>
      <c r="AH19" s="498" t="s">
        <v>332</v>
      </c>
      <c r="AI19" s="20"/>
    </row>
    <row r="20" spans="1:35" s="22" customFormat="1" ht="44.25" customHeight="1" x14ac:dyDescent="0.25">
      <c r="A20" s="415"/>
      <c r="B20" s="363"/>
      <c r="C20" s="273" t="s">
        <v>21</v>
      </c>
      <c r="D20" s="62">
        <f>SUM(J20,L20,N20,P20,R20,T20,V20,X20,Z20,AB20,AD20,AF20)</f>
        <v>41589.599999999999</v>
      </c>
      <c r="E20" s="62">
        <f>J20</f>
        <v>6240.2985200000003</v>
      </c>
      <c r="F20" s="62">
        <f>G20</f>
        <v>7871.6679699999995</v>
      </c>
      <c r="G20" s="62">
        <f>SUM(K20,M20,O20,Q20,S20,U20,W20,Y20,AA20,AC20,AE20,AG20)</f>
        <v>7871.6679699999995</v>
      </c>
      <c r="H20" s="62">
        <f t="shared" ref="H20:H22" si="14">IFERROR(G20/D20*100,0)</f>
        <v>18.927010526670131</v>
      </c>
      <c r="I20" s="62">
        <f t="shared" ref="I20:I22" si="15">IFERROR(G20/E20*100,0)</f>
        <v>126.14249053585338</v>
      </c>
      <c r="J20" s="63">
        <f t="shared" ref="J20:AF20" si="16">J22</f>
        <v>6240.2985200000003</v>
      </c>
      <c r="K20" s="63">
        <f t="shared" si="16"/>
        <v>2767.8380699999998</v>
      </c>
      <c r="L20" s="63">
        <f t="shared" si="16"/>
        <v>5678.0733799999998</v>
      </c>
      <c r="M20" s="63">
        <f t="shared" si="16"/>
        <v>5103.8298999999997</v>
      </c>
      <c r="N20" s="63">
        <f t="shared" si="16"/>
        <v>2757.4114399999999</v>
      </c>
      <c r="O20" s="63">
        <f t="shared" si="16"/>
        <v>0</v>
      </c>
      <c r="P20" s="63">
        <f t="shared" si="16"/>
        <v>3185.3745600000002</v>
      </c>
      <c r="Q20" s="63">
        <f t="shared" si="16"/>
        <v>0</v>
      </c>
      <c r="R20" s="63">
        <f t="shared" si="16"/>
        <v>2713.5567299999998</v>
      </c>
      <c r="S20" s="63">
        <f t="shared" si="16"/>
        <v>0</v>
      </c>
      <c r="T20" s="63">
        <f t="shared" si="16"/>
        <v>3223.0283199999999</v>
      </c>
      <c r="U20" s="63">
        <f t="shared" si="16"/>
        <v>0</v>
      </c>
      <c r="V20" s="63">
        <f t="shared" si="16"/>
        <v>3219.1702500000001</v>
      </c>
      <c r="W20" s="63">
        <f t="shared" si="16"/>
        <v>0</v>
      </c>
      <c r="X20" s="63">
        <f t="shared" si="16"/>
        <v>2732.6763299999998</v>
      </c>
      <c r="Y20" s="63">
        <f t="shared" si="16"/>
        <v>0</v>
      </c>
      <c r="Z20" s="63">
        <f t="shared" si="16"/>
        <v>2733.16705</v>
      </c>
      <c r="AA20" s="63">
        <f t="shared" si="16"/>
        <v>0</v>
      </c>
      <c r="AB20" s="63">
        <f t="shared" si="16"/>
        <v>2995.9812700000002</v>
      </c>
      <c r="AC20" s="63">
        <f t="shared" si="16"/>
        <v>0</v>
      </c>
      <c r="AD20" s="63">
        <f t="shared" si="16"/>
        <v>2803.2162800000001</v>
      </c>
      <c r="AE20" s="63">
        <f t="shared" si="16"/>
        <v>0</v>
      </c>
      <c r="AF20" s="63">
        <f t="shared" si="16"/>
        <v>3307.6458699999998</v>
      </c>
      <c r="AG20" s="63">
        <f>AG22</f>
        <v>0</v>
      </c>
      <c r="AH20" s="499"/>
      <c r="AI20" s="20"/>
    </row>
    <row r="21" spans="1:35" s="100" customFormat="1" ht="34.5" customHeight="1" x14ac:dyDescent="0.25">
      <c r="A21" s="441"/>
      <c r="B21" s="473" t="s">
        <v>176</v>
      </c>
      <c r="C21" s="108" t="s">
        <v>20</v>
      </c>
      <c r="D21" s="109">
        <f>D22</f>
        <v>41589.599999999999</v>
      </c>
      <c r="E21" s="109">
        <f>E22</f>
        <v>11918.3719</v>
      </c>
      <c r="F21" s="109">
        <f>F22</f>
        <v>7871.6679699999995</v>
      </c>
      <c r="G21" s="109">
        <f>G22</f>
        <v>7871.6679699999995</v>
      </c>
      <c r="H21" s="109">
        <f t="shared" si="14"/>
        <v>18.927010526670131</v>
      </c>
      <c r="I21" s="109">
        <f t="shared" si="15"/>
        <v>66.046503969220822</v>
      </c>
      <c r="J21" s="110">
        <f>J22</f>
        <v>6240.2985200000003</v>
      </c>
      <c r="K21" s="110">
        <f t="shared" ref="K21:AG21" si="17">K22</f>
        <v>2767.8380699999998</v>
      </c>
      <c r="L21" s="110">
        <f t="shared" si="17"/>
        <v>5678.0733799999998</v>
      </c>
      <c r="M21" s="110">
        <f t="shared" si="17"/>
        <v>5103.8298999999997</v>
      </c>
      <c r="N21" s="110">
        <f t="shared" si="17"/>
        <v>2757.4114399999999</v>
      </c>
      <c r="O21" s="110">
        <f t="shared" si="17"/>
        <v>0</v>
      </c>
      <c r="P21" s="110">
        <f t="shared" si="17"/>
        <v>3185.3745600000002</v>
      </c>
      <c r="Q21" s="110">
        <f t="shared" si="17"/>
        <v>0</v>
      </c>
      <c r="R21" s="110">
        <f t="shared" si="17"/>
        <v>2713.5567299999998</v>
      </c>
      <c r="S21" s="110">
        <f t="shared" si="17"/>
        <v>0</v>
      </c>
      <c r="T21" s="110">
        <f t="shared" si="17"/>
        <v>3223.0283199999999</v>
      </c>
      <c r="U21" s="110">
        <f t="shared" si="17"/>
        <v>0</v>
      </c>
      <c r="V21" s="110">
        <f t="shared" si="17"/>
        <v>3219.1702500000001</v>
      </c>
      <c r="W21" s="110">
        <f t="shared" si="17"/>
        <v>0</v>
      </c>
      <c r="X21" s="110">
        <f t="shared" si="17"/>
        <v>2732.6763299999998</v>
      </c>
      <c r="Y21" s="110">
        <f t="shared" si="17"/>
        <v>0</v>
      </c>
      <c r="Z21" s="110">
        <f t="shared" si="17"/>
        <v>2733.16705</v>
      </c>
      <c r="AA21" s="110">
        <f t="shared" si="17"/>
        <v>0</v>
      </c>
      <c r="AB21" s="110">
        <f t="shared" si="17"/>
        <v>2995.9812700000002</v>
      </c>
      <c r="AC21" s="110">
        <f t="shared" si="17"/>
        <v>0</v>
      </c>
      <c r="AD21" s="110">
        <f t="shared" si="17"/>
        <v>2803.2162800000001</v>
      </c>
      <c r="AE21" s="110">
        <f t="shared" si="17"/>
        <v>0</v>
      </c>
      <c r="AF21" s="110">
        <f t="shared" si="17"/>
        <v>3307.6458699999998</v>
      </c>
      <c r="AG21" s="110">
        <f t="shared" si="17"/>
        <v>0</v>
      </c>
      <c r="AH21" s="499"/>
      <c r="AI21" s="106"/>
    </row>
    <row r="22" spans="1:35" s="33" customFormat="1" ht="43.5" customHeight="1" x14ac:dyDescent="0.25">
      <c r="A22" s="443"/>
      <c r="B22" s="474"/>
      <c r="C22" s="112" t="s">
        <v>21</v>
      </c>
      <c r="D22" s="113">
        <f>SUM(J22,L22,N22,P22,R22,T22,V22,X22,Z22,AB22,AD22,AF22)</f>
        <v>41589.599999999999</v>
      </c>
      <c r="E22" s="113">
        <f>J22+L22</f>
        <v>11918.3719</v>
      </c>
      <c r="F22" s="113">
        <f>G22</f>
        <v>7871.6679699999995</v>
      </c>
      <c r="G22" s="113">
        <f>SUM(K22,M22,O22,Q22,S22,U22,W22,Y22,AA22,AC22,AE22,AG22)</f>
        <v>7871.6679699999995</v>
      </c>
      <c r="H22" s="113">
        <f t="shared" si="14"/>
        <v>18.927010526670131</v>
      </c>
      <c r="I22" s="113">
        <f t="shared" si="15"/>
        <v>66.046503969220822</v>
      </c>
      <c r="J22" s="114">
        <v>6240.2985200000003</v>
      </c>
      <c r="K22" s="114">
        <v>2767.8380699999998</v>
      </c>
      <c r="L22" s="114">
        <v>5678.0733799999998</v>
      </c>
      <c r="M22" s="114">
        <v>5103.8298999999997</v>
      </c>
      <c r="N22" s="114">
        <v>2757.4114399999999</v>
      </c>
      <c r="O22" s="114">
        <v>0</v>
      </c>
      <c r="P22" s="114">
        <v>3185.3745600000002</v>
      </c>
      <c r="Q22" s="114">
        <v>0</v>
      </c>
      <c r="R22" s="114">
        <v>2713.5567299999998</v>
      </c>
      <c r="S22" s="114">
        <v>0</v>
      </c>
      <c r="T22" s="114">
        <v>3223.0283199999999</v>
      </c>
      <c r="U22" s="114">
        <v>0</v>
      </c>
      <c r="V22" s="114">
        <v>3219.1702500000001</v>
      </c>
      <c r="W22" s="114">
        <v>0</v>
      </c>
      <c r="X22" s="114">
        <v>2732.6763299999998</v>
      </c>
      <c r="Y22" s="114">
        <v>0</v>
      </c>
      <c r="Z22" s="114">
        <v>2733.16705</v>
      </c>
      <c r="AA22" s="114">
        <v>0</v>
      </c>
      <c r="AB22" s="114">
        <v>2995.9812700000002</v>
      </c>
      <c r="AC22" s="114">
        <v>0</v>
      </c>
      <c r="AD22" s="114">
        <v>2803.2162800000001</v>
      </c>
      <c r="AE22" s="114">
        <v>0</v>
      </c>
      <c r="AF22" s="135">
        <v>3307.6458699999998</v>
      </c>
      <c r="AG22" s="114">
        <v>0</v>
      </c>
      <c r="AH22" s="527"/>
      <c r="AI22" s="106"/>
    </row>
    <row r="23" spans="1:35" s="32" customFormat="1" ht="15.75" customHeight="1" x14ac:dyDescent="0.25">
      <c r="A23" s="136" t="s">
        <v>157</v>
      </c>
      <c r="B23" s="426" t="s">
        <v>32</v>
      </c>
      <c r="C23" s="427"/>
      <c r="D23" s="427"/>
      <c r="E23" s="427"/>
      <c r="F23" s="427"/>
      <c r="G23" s="427"/>
      <c r="H23" s="427"/>
      <c r="I23" s="427"/>
      <c r="J23" s="427"/>
      <c r="K23" s="427"/>
      <c r="L23" s="427"/>
      <c r="M23" s="427"/>
      <c r="N23" s="427"/>
      <c r="O23" s="427"/>
      <c r="P23" s="427"/>
      <c r="Q23" s="427"/>
      <c r="R23" s="427"/>
      <c r="S23" s="427"/>
      <c r="T23" s="427"/>
      <c r="U23" s="427"/>
      <c r="V23" s="427"/>
      <c r="W23" s="427"/>
      <c r="X23" s="427"/>
      <c r="Y23" s="427"/>
      <c r="Z23" s="427"/>
      <c r="AA23" s="427"/>
      <c r="AB23" s="427"/>
      <c r="AC23" s="427"/>
      <c r="AD23" s="427"/>
      <c r="AE23" s="427"/>
      <c r="AF23" s="427"/>
      <c r="AG23" s="428"/>
    </row>
    <row r="24" spans="1:35" s="21" customFormat="1" ht="53.25" customHeight="1" x14ac:dyDescent="0.25">
      <c r="A24" s="413" t="s">
        <v>158</v>
      </c>
      <c r="B24" s="361" t="s">
        <v>177</v>
      </c>
      <c r="C24" s="57" t="s">
        <v>20</v>
      </c>
      <c r="D24" s="58">
        <f>SUM(J24,L24,N24,P24,R24,T24,V24,X24,Z24,AB24,AD24,AF24)</f>
        <v>489483.80382999999</v>
      </c>
      <c r="E24" s="58">
        <f>E25</f>
        <v>71569.540540000002</v>
      </c>
      <c r="F24" s="58">
        <f>F25</f>
        <v>58513.955849999998</v>
      </c>
      <c r="G24" s="58">
        <f>G25</f>
        <v>58513.955849999998</v>
      </c>
      <c r="H24" s="58">
        <f t="shared" ref="H24:H33" si="18">IFERROR(G24/D24*100,0)</f>
        <v>11.954216951031576</v>
      </c>
      <c r="I24" s="58">
        <f t="shared" ref="I24:I33" si="19">IFERROR(G24/E24*100,0)</f>
        <v>81.758182892478843</v>
      </c>
      <c r="J24" s="59">
        <f>J25</f>
        <v>26908.555420000001</v>
      </c>
      <c r="K24" s="59">
        <f>+K25</f>
        <v>18942.779020000002</v>
      </c>
      <c r="L24" s="59">
        <f>+L25</f>
        <v>44660.985119999998</v>
      </c>
      <c r="M24" s="59">
        <f>M25</f>
        <v>39571.176829999997</v>
      </c>
      <c r="N24" s="59">
        <f>N25</f>
        <v>40326.980920000002</v>
      </c>
      <c r="O24" s="59">
        <f t="shared" ref="O24:AG24" si="20">O25</f>
        <v>0</v>
      </c>
      <c r="P24" s="59">
        <f t="shared" si="20"/>
        <v>45143.363119999995</v>
      </c>
      <c r="Q24" s="59">
        <f t="shared" si="20"/>
        <v>0</v>
      </c>
      <c r="R24" s="59">
        <f t="shared" si="20"/>
        <v>41237.156090000004</v>
      </c>
      <c r="S24" s="59">
        <f t="shared" si="20"/>
        <v>0</v>
      </c>
      <c r="T24" s="59">
        <f t="shared" si="20"/>
        <v>42029.440979999999</v>
      </c>
      <c r="U24" s="59">
        <f t="shared" si="20"/>
        <v>0</v>
      </c>
      <c r="V24" s="59">
        <f t="shared" si="20"/>
        <v>44910.344509999995</v>
      </c>
      <c r="W24" s="59">
        <f t="shared" si="20"/>
        <v>0</v>
      </c>
      <c r="X24" s="59">
        <f t="shared" si="20"/>
        <v>40091.698779999992</v>
      </c>
      <c r="Y24" s="59">
        <f t="shared" si="20"/>
        <v>0</v>
      </c>
      <c r="Z24" s="59">
        <f t="shared" si="20"/>
        <v>36558.967729999997</v>
      </c>
      <c r="AA24" s="59">
        <f t="shared" si="20"/>
        <v>0</v>
      </c>
      <c r="AB24" s="59">
        <f t="shared" si="20"/>
        <v>39803.437279999998</v>
      </c>
      <c r="AC24" s="59">
        <f t="shared" si="20"/>
        <v>0</v>
      </c>
      <c r="AD24" s="59">
        <f t="shared" si="20"/>
        <v>35800.098549999995</v>
      </c>
      <c r="AE24" s="59">
        <f t="shared" si="20"/>
        <v>0</v>
      </c>
      <c r="AF24" s="59">
        <f t="shared" si="20"/>
        <v>52012.775330000004</v>
      </c>
      <c r="AG24" s="59">
        <f t="shared" si="20"/>
        <v>0</v>
      </c>
      <c r="AH24" s="60"/>
      <c r="AI24" s="20"/>
    </row>
    <row r="25" spans="1:35" s="22" customFormat="1" ht="45" customHeight="1" x14ac:dyDescent="0.25">
      <c r="A25" s="415"/>
      <c r="B25" s="363"/>
      <c r="C25" s="273" t="s">
        <v>21</v>
      </c>
      <c r="D25" s="62">
        <f>SUM(J25,L25,N25,P25,R25,T25,V25,X25,Z25,AB25,AD25,AF25)</f>
        <v>489483.80382999999</v>
      </c>
      <c r="E25" s="62">
        <f>J25+L25</f>
        <v>71569.540540000002</v>
      </c>
      <c r="F25" s="62">
        <f>G25</f>
        <v>58513.955849999998</v>
      </c>
      <c r="G25" s="62">
        <f>SUM(K25,M25,O25,Q25,S25,U25,W25,Y25,AA25,AC25,AE25,AG25)</f>
        <v>58513.955849999998</v>
      </c>
      <c r="H25" s="62">
        <f t="shared" si="18"/>
        <v>11.954216951031576</v>
      </c>
      <c r="I25" s="62">
        <f t="shared" si="19"/>
        <v>81.758182892478843</v>
      </c>
      <c r="J25" s="63">
        <f t="shared" ref="J25:AG25" si="21">J27+J29+J31+J33</f>
        <v>26908.555420000001</v>
      </c>
      <c r="K25" s="63">
        <f t="shared" si="21"/>
        <v>18942.779020000002</v>
      </c>
      <c r="L25" s="63">
        <f t="shared" si="21"/>
        <v>44660.985119999998</v>
      </c>
      <c r="M25" s="63">
        <f t="shared" si="21"/>
        <v>39571.176829999997</v>
      </c>
      <c r="N25" s="63">
        <f t="shared" si="21"/>
        <v>40326.980920000002</v>
      </c>
      <c r="O25" s="63">
        <f t="shared" si="21"/>
        <v>0</v>
      </c>
      <c r="P25" s="63">
        <f t="shared" si="21"/>
        <v>45143.363119999995</v>
      </c>
      <c r="Q25" s="63">
        <f t="shared" si="21"/>
        <v>0</v>
      </c>
      <c r="R25" s="63">
        <f t="shared" si="21"/>
        <v>41237.156090000004</v>
      </c>
      <c r="S25" s="63">
        <f t="shared" si="21"/>
        <v>0</v>
      </c>
      <c r="T25" s="63">
        <f t="shared" si="21"/>
        <v>42029.440979999999</v>
      </c>
      <c r="U25" s="63">
        <f t="shared" si="21"/>
        <v>0</v>
      </c>
      <c r="V25" s="63">
        <f t="shared" si="21"/>
        <v>44910.344509999995</v>
      </c>
      <c r="W25" s="63">
        <f t="shared" si="21"/>
        <v>0</v>
      </c>
      <c r="X25" s="63">
        <f t="shared" si="21"/>
        <v>40091.698779999992</v>
      </c>
      <c r="Y25" s="63">
        <f t="shared" si="21"/>
        <v>0</v>
      </c>
      <c r="Z25" s="63">
        <f t="shared" si="21"/>
        <v>36558.967729999997</v>
      </c>
      <c r="AA25" s="63">
        <f t="shared" si="21"/>
        <v>0</v>
      </c>
      <c r="AB25" s="63">
        <f t="shared" si="21"/>
        <v>39803.437279999998</v>
      </c>
      <c r="AC25" s="63">
        <f t="shared" si="21"/>
        <v>0</v>
      </c>
      <c r="AD25" s="63">
        <f t="shared" si="21"/>
        <v>35800.098549999995</v>
      </c>
      <c r="AE25" s="63">
        <f t="shared" si="21"/>
        <v>0</v>
      </c>
      <c r="AF25" s="63">
        <f t="shared" si="21"/>
        <v>52012.775330000004</v>
      </c>
      <c r="AG25" s="63">
        <f t="shared" si="21"/>
        <v>0</v>
      </c>
      <c r="AH25" s="64"/>
      <c r="AI25" s="20"/>
    </row>
    <row r="26" spans="1:35" s="100" customFormat="1" ht="36" customHeight="1" x14ac:dyDescent="0.25">
      <c r="A26" s="441"/>
      <c r="B26" s="477" t="s">
        <v>178</v>
      </c>
      <c r="C26" s="108" t="s">
        <v>20</v>
      </c>
      <c r="D26" s="109">
        <f>D27</f>
        <v>157663.09999999998</v>
      </c>
      <c r="E26" s="109">
        <f t="shared" ref="E26:G32" si="22">E27</f>
        <v>25791.051169999999</v>
      </c>
      <c r="F26" s="109">
        <f t="shared" si="22"/>
        <v>23587.12184</v>
      </c>
      <c r="G26" s="109">
        <f t="shared" si="22"/>
        <v>23587.12184</v>
      </c>
      <c r="H26" s="109">
        <f t="shared" si="18"/>
        <v>14.960457989218787</v>
      </c>
      <c r="I26" s="109">
        <f t="shared" si="19"/>
        <v>91.454674276465326</v>
      </c>
      <c r="J26" s="110">
        <f t="shared" ref="J26:AG26" si="23">J27</f>
        <v>9821.5464200000006</v>
      </c>
      <c r="K26" s="110">
        <f t="shared" si="23"/>
        <v>8109.4545399999997</v>
      </c>
      <c r="L26" s="110">
        <f t="shared" si="23"/>
        <v>15969.50475</v>
      </c>
      <c r="M26" s="110">
        <f t="shared" si="23"/>
        <v>15477.667299999999</v>
      </c>
      <c r="N26" s="110">
        <f t="shared" si="23"/>
        <v>11371.074000000001</v>
      </c>
      <c r="O26" s="110">
        <f t="shared" si="23"/>
        <v>0</v>
      </c>
      <c r="P26" s="110">
        <f t="shared" si="23"/>
        <v>15382.22762</v>
      </c>
      <c r="Q26" s="110">
        <f t="shared" si="23"/>
        <v>0</v>
      </c>
      <c r="R26" s="110">
        <f t="shared" si="23"/>
        <v>11169.18453</v>
      </c>
      <c r="S26" s="110">
        <f t="shared" si="23"/>
        <v>0</v>
      </c>
      <c r="T26" s="110">
        <f t="shared" si="23"/>
        <v>12077.964900000001</v>
      </c>
      <c r="U26" s="110">
        <f t="shared" si="23"/>
        <v>0</v>
      </c>
      <c r="V26" s="110">
        <f t="shared" si="23"/>
        <v>16811.865330000001</v>
      </c>
      <c r="W26" s="110">
        <f t="shared" si="23"/>
        <v>0</v>
      </c>
      <c r="X26" s="110">
        <f t="shared" si="23"/>
        <v>11501.31241</v>
      </c>
      <c r="Y26" s="110">
        <f t="shared" si="23"/>
        <v>0</v>
      </c>
      <c r="Z26" s="110">
        <f t="shared" si="23"/>
        <v>11248.865100000001</v>
      </c>
      <c r="AA26" s="110">
        <f t="shared" si="23"/>
        <v>0</v>
      </c>
      <c r="AB26" s="110">
        <f t="shared" si="23"/>
        <v>13794.384459999999</v>
      </c>
      <c r="AC26" s="110">
        <f t="shared" si="23"/>
        <v>0</v>
      </c>
      <c r="AD26" s="110">
        <f t="shared" si="23"/>
        <v>9603.49647</v>
      </c>
      <c r="AE26" s="110">
        <f t="shared" si="23"/>
        <v>0</v>
      </c>
      <c r="AF26" s="110">
        <f t="shared" si="23"/>
        <v>18911.674009999999</v>
      </c>
      <c r="AG26" s="110">
        <f t="shared" si="23"/>
        <v>0</v>
      </c>
      <c r="AH26" s="111"/>
      <c r="AI26" s="106"/>
    </row>
    <row r="27" spans="1:35" s="33" customFormat="1" ht="138" customHeight="1" x14ac:dyDescent="0.25">
      <c r="A27" s="443"/>
      <c r="B27" s="478"/>
      <c r="C27" s="112" t="s">
        <v>21</v>
      </c>
      <c r="D27" s="113">
        <f>SUM(J27,L27,N27,P27,R27,T27,V27,X27,Z27,AB27,AD27,AF27)</f>
        <v>157663.09999999998</v>
      </c>
      <c r="E27" s="113">
        <f>J27+L27</f>
        <v>25791.051169999999</v>
      </c>
      <c r="F27" s="113">
        <f>G27</f>
        <v>23587.12184</v>
      </c>
      <c r="G27" s="113">
        <f>SUM(K27,M27,O27,Q27,S27,U27,W27,Y27,AA27,AC27,AE27,AG27)</f>
        <v>23587.12184</v>
      </c>
      <c r="H27" s="113">
        <f t="shared" si="18"/>
        <v>14.960457989218787</v>
      </c>
      <c r="I27" s="113">
        <f t="shared" si="19"/>
        <v>91.454674276465326</v>
      </c>
      <c r="J27" s="114">
        <v>9821.5464200000006</v>
      </c>
      <c r="K27" s="114">
        <v>8109.4545399999997</v>
      </c>
      <c r="L27" s="114">
        <v>15969.50475</v>
      </c>
      <c r="M27" s="114">
        <v>15477.667299999999</v>
      </c>
      <c r="N27" s="114">
        <v>11371.074000000001</v>
      </c>
      <c r="O27" s="114">
        <v>0</v>
      </c>
      <c r="P27" s="114">
        <v>15382.22762</v>
      </c>
      <c r="Q27" s="114">
        <v>0</v>
      </c>
      <c r="R27" s="114">
        <v>11169.18453</v>
      </c>
      <c r="S27" s="114">
        <v>0</v>
      </c>
      <c r="T27" s="114">
        <v>12077.964900000001</v>
      </c>
      <c r="U27" s="114">
        <v>0</v>
      </c>
      <c r="V27" s="114">
        <v>16811.865330000001</v>
      </c>
      <c r="W27" s="114">
        <v>0</v>
      </c>
      <c r="X27" s="114">
        <v>11501.31241</v>
      </c>
      <c r="Y27" s="114">
        <v>0</v>
      </c>
      <c r="Z27" s="114">
        <v>11248.865100000001</v>
      </c>
      <c r="AA27" s="114">
        <v>0</v>
      </c>
      <c r="AB27" s="114">
        <v>13794.384459999999</v>
      </c>
      <c r="AC27" s="114">
        <v>0</v>
      </c>
      <c r="AD27" s="114">
        <v>9603.49647</v>
      </c>
      <c r="AE27" s="114">
        <v>0</v>
      </c>
      <c r="AF27" s="114">
        <v>18911.674009999999</v>
      </c>
      <c r="AG27" s="114">
        <v>0</v>
      </c>
      <c r="AH27" s="274" t="s">
        <v>333</v>
      </c>
      <c r="AI27" s="106"/>
    </row>
    <row r="28" spans="1:35" s="100" customFormat="1" ht="35.25" customHeight="1" x14ac:dyDescent="0.25">
      <c r="A28" s="531"/>
      <c r="B28" s="477" t="s">
        <v>179</v>
      </c>
      <c r="C28" s="108" t="s">
        <v>20</v>
      </c>
      <c r="D28" s="109">
        <f>D29</f>
        <v>85836.7</v>
      </c>
      <c r="E28" s="109">
        <f t="shared" si="22"/>
        <v>15700.744999999999</v>
      </c>
      <c r="F28" s="109">
        <f t="shared" si="22"/>
        <v>15700.744999999999</v>
      </c>
      <c r="G28" s="109">
        <f t="shared" si="22"/>
        <v>15700.744999999999</v>
      </c>
      <c r="H28" s="109">
        <f t="shared" si="18"/>
        <v>18.291412647503922</v>
      </c>
      <c r="I28" s="109">
        <f t="shared" si="19"/>
        <v>100</v>
      </c>
      <c r="J28" s="110">
        <f t="shared" ref="J28:AG28" si="24">J29</f>
        <v>6525.8620000000001</v>
      </c>
      <c r="K28" s="110">
        <f t="shared" si="24"/>
        <v>6525.8620000000001</v>
      </c>
      <c r="L28" s="110">
        <f t="shared" si="24"/>
        <v>9174.8829999999998</v>
      </c>
      <c r="M28" s="110">
        <f t="shared" si="24"/>
        <v>9174.8829999999998</v>
      </c>
      <c r="N28" s="110">
        <f t="shared" si="24"/>
        <v>7600.6360000000004</v>
      </c>
      <c r="O28" s="110">
        <f t="shared" si="24"/>
        <v>0</v>
      </c>
      <c r="P28" s="110">
        <f t="shared" si="24"/>
        <v>7916.223</v>
      </c>
      <c r="Q28" s="110">
        <f t="shared" si="24"/>
        <v>0</v>
      </c>
      <c r="R28" s="110">
        <f t="shared" si="24"/>
        <v>8279.9619999999995</v>
      </c>
      <c r="S28" s="110">
        <f t="shared" si="24"/>
        <v>0</v>
      </c>
      <c r="T28" s="110">
        <f t="shared" si="24"/>
        <v>8316.7880000000005</v>
      </c>
      <c r="U28" s="110">
        <f t="shared" si="24"/>
        <v>0</v>
      </c>
      <c r="V28" s="110">
        <f t="shared" si="24"/>
        <v>7902.7079999999996</v>
      </c>
      <c r="W28" s="110">
        <f t="shared" si="24"/>
        <v>0</v>
      </c>
      <c r="X28" s="110">
        <f t="shared" si="24"/>
        <v>8492.7389999999996</v>
      </c>
      <c r="Y28" s="110">
        <f t="shared" si="24"/>
        <v>0</v>
      </c>
      <c r="Z28" s="110">
        <f t="shared" si="24"/>
        <v>5267.21</v>
      </c>
      <c r="AA28" s="110">
        <f t="shared" si="24"/>
        <v>0</v>
      </c>
      <c r="AB28" s="110">
        <f t="shared" si="24"/>
        <v>5770.29</v>
      </c>
      <c r="AC28" s="110">
        <f t="shared" si="24"/>
        <v>0</v>
      </c>
      <c r="AD28" s="110">
        <f t="shared" si="24"/>
        <v>5144.42</v>
      </c>
      <c r="AE28" s="110">
        <f t="shared" si="24"/>
        <v>0</v>
      </c>
      <c r="AF28" s="110">
        <f t="shared" si="24"/>
        <v>5444.9790000000003</v>
      </c>
      <c r="AG28" s="110">
        <f t="shared" si="24"/>
        <v>0</v>
      </c>
      <c r="AH28" s="111"/>
      <c r="AI28" s="106"/>
    </row>
    <row r="29" spans="1:35" s="33" customFormat="1" ht="42" customHeight="1" x14ac:dyDescent="0.25">
      <c r="A29" s="532"/>
      <c r="B29" s="478"/>
      <c r="C29" s="112" t="s">
        <v>21</v>
      </c>
      <c r="D29" s="113">
        <f>SUM(J29,L29,N29,P29,R29,T29,V29,X29,Z29,AB29,AD29,AF29)</f>
        <v>85836.7</v>
      </c>
      <c r="E29" s="113">
        <f>J29+L29</f>
        <v>15700.744999999999</v>
      </c>
      <c r="F29" s="113">
        <f>G29</f>
        <v>15700.744999999999</v>
      </c>
      <c r="G29" s="113">
        <f>SUM(K29,M29,O29,Q29,S29,U29,W29,Y29,AA29,AC29,AE29,AG29)</f>
        <v>15700.744999999999</v>
      </c>
      <c r="H29" s="113">
        <f t="shared" si="18"/>
        <v>18.291412647503922</v>
      </c>
      <c r="I29" s="113">
        <f t="shared" si="19"/>
        <v>100</v>
      </c>
      <c r="J29" s="114">
        <v>6525.8620000000001</v>
      </c>
      <c r="K29" s="114">
        <v>6525.8620000000001</v>
      </c>
      <c r="L29" s="114">
        <v>9174.8829999999998</v>
      </c>
      <c r="M29" s="114">
        <v>9174.8829999999998</v>
      </c>
      <c r="N29" s="114">
        <v>7600.6360000000004</v>
      </c>
      <c r="O29" s="114">
        <v>0</v>
      </c>
      <c r="P29" s="114">
        <v>7916.223</v>
      </c>
      <c r="Q29" s="114">
        <v>0</v>
      </c>
      <c r="R29" s="114">
        <v>8279.9619999999995</v>
      </c>
      <c r="S29" s="114">
        <v>0</v>
      </c>
      <c r="T29" s="114">
        <v>8316.7880000000005</v>
      </c>
      <c r="U29" s="114">
        <v>0</v>
      </c>
      <c r="V29" s="114">
        <v>7902.7079999999996</v>
      </c>
      <c r="W29" s="114">
        <v>0</v>
      </c>
      <c r="X29" s="114">
        <v>8492.7389999999996</v>
      </c>
      <c r="Y29" s="114">
        <v>0</v>
      </c>
      <c r="Z29" s="114">
        <v>5267.21</v>
      </c>
      <c r="AA29" s="114">
        <v>0</v>
      </c>
      <c r="AB29" s="114">
        <v>5770.29</v>
      </c>
      <c r="AC29" s="114">
        <v>0</v>
      </c>
      <c r="AD29" s="114">
        <v>5144.42</v>
      </c>
      <c r="AE29" s="114">
        <v>0</v>
      </c>
      <c r="AF29" s="114">
        <v>5444.9790000000003</v>
      </c>
      <c r="AG29" s="114">
        <v>0</v>
      </c>
      <c r="AH29" s="111"/>
      <c r="AI29" s="106"/>
    </row>
    <row r="30" spans="1:35" s="100" customFormat="1" ht="35.25" customHeight="1" x14ac:dyDescent="0.25">
      <c r="A30" s="441"/>
      <c r="B30" s="477" t="s">
        <v>180</v>
      </c>
      <c r="C30" s="108" t="s">
        <v>20</v>
      </c>
      <c r="D30" s="109">
        <f>D31</f>
        <v>227238.50383</v>
      </c>
      <c r="E30" s="109">
        <f t="shared" si="22"/>
        <v>30077.74437</v>
      </c>
      <c r="F30" s="109">
        <f t="shared" si="22"/>
        <v>19226.08901</v>
      </c>
      <c r="G30" s="109">
        <f t="shared" si="22"/>
        <v>19226.08901</v>
      </c>
      <c r="H30" s="109">
        <f t="shared" si="18"/>
        <v>8.4607532112530013</v>
      </c>
      <c r="I30" s="109">
        <f t="shared" si="19"/>
        <v>63.921312627340477</v>
      </c>
      <c r="J30" s="110">
        <f t="shared" ref="J30:AG30" si="25">J31</f>
        <v>10561.147000000001</v>
      </c>
      <c r="K30" s="110">
        <f t="shared" si="25"/>
        <v>4307.4624800000001</v>
      </c>
      <c r="L30" s="110">
        <f t="shared" si="25"/>
        <v>19516.59737</v>
      </c>
      <c r="M30" s="110">
        <f t="shared" si="25"/>
        <v>14918.62653</v>
      </c>
      <c r="N30" s="110">
        <f t="shared" si="25"/>
        <v>19108.14992</v>
      </c>
      <c r="O30" s="110">
        <f t="shared" si="25"/>
        <v>0</v>
      </c>
      <c r="P30" s="110">
        <f t="shared" si="25"/>
        <v>19809.977500000001</v>
      </c>
      <c r="Q30" s="110">
        <f t="shared" si="25"/>
        <v>0</v>
      </c>
      <c r="R30" s="110">
        <f t="shared" si="25"/>
        <v>19772.67556</v>
      </c>
      <c r="S30" s="110">
        <f t="shared" si="25"/>
        <v>0</v>
      </c>
      <c r="T30" s="110">
        <f t="shared" si="25"/>
        <v>19705.22308</v>
      </c>
      <c r="U30" s="110">
        <f t="shared" si="25"/>
        <v>0</v>
      </c>
      <c r="V30" s="110">
        <f t="shared" si="25"/>
        <v>18220.582180000001</v>
      </c>
      <c r="W30" s="110">
        <f t="shared" si="25"/>
        <v>0</v>
      </c>
      <c r="X30" s="110">
        <f t="shared" si="25"/>
        <v>18219.182369999999</v>
      </c>
      <c r="Y30" s="110">
        <f t="shared" si="25"/>
        <v>0</v>
      </c>
      <c r="Z30" s="110">
        <f t="shared" si="25"/>
        <v>18224.427629999998</v>
      </c>
      <c r="AA30" s="110">
        <f t="shared" si="25"/>
        <v>0</v>
      </c>
      <c r="AB30" s="110">
        <f t="shared" si="25"/>
        <v>18349.29782</v>
      </c>
      <c r="AC30" s="110">
        <f t="shared" si="25"/>
        <v>0</v>
      </c>
      <c r="AD30" s="110">
        <f t="shared" si="25"/>
        <v>19272.917079999999</v>
      </c>
      <c r="AE30" s="110">
        <f t="shared" si="25"/>
        <v>0</v>
      </c>
      <c r="AF30" s="110">
        <f t="shared" si="25"/>
        <v>26478.32632</v>
      </c>
      <c r="AG30" s="110">
        <f t="shared" si="25"/>
        <v>0</v>
      </c>
      <c r="AH30" s="498" t="s">
        <v>332</v>
      </c>
      <c r="AI30" s="106"/>
    </row>
    <row r="31" spans="1:35" s="33" customFormat="1" ht="42" customHeight="1" x14ac:dyDescent="0.25">
      <c r="A31" s="443"/>
      <c r="B31" s="478"/>
      <c r="C31" s="112" t="s">
        <v>21</v>
      </c>
      <c r="D31" s="113">
        <f>SUM(J31,L31,N31,P31,R31,T31,V31,X31,Z31,AB31,AD31,AF31)</f>
        <v>227238.50383</v>
      </c>
      <c r="E31" s="113">
        <f>J31+L31</f>
        <v>30077.74437</v>
      </c>
      <c r="F31" s="113">
        <f>G31</f>
        <v>19226.08901</v>
      </c>
      <c r="G31" s="113">
        <f>SUM(K31,M31,O31,Q31,S31,U31,W31,Y31,AA31,AC31,AE31,AG31)</f>
        <v>19226.08901</v>
      </c>
      <c r="H31" s="113">
        <f t="shared" si="18"/>
        <v>8.4607532112530013</v>
      </c>
      <c r="I31" s="113">
        <f t="shared" si="19"/>
        <v>63.921312627340477</v>
      </c>
      <c r="J31" s="114">
        <v>10561.147000000001</v>
      </c>
      <c r="K31" s="114">
        <v>4307.4624800000001</v>
      </c>
      <c r="L31" s="114">
        <v>19516.59737</v>
      </c>
      <c r="M31" s="114">
        <v>14918.62653</v>
      </c>
      <c r="N31" s="114">
        <v>19108.14992</v>
      </c>
      <c r="O31" s="114">
        <v>0</v>
      </c>
      <c r="P31" s="114">
        <v>19809.977500000001</v>
      </c>
      <c r="Q31" s="114">
        <v>0</v>
      </c>
      <c r="R31" s="114">
        <v>19772.67556</v>
      </c>
      <c r="S31" s="114">
        <v>0</v>
      </c>
      <c r="T31" s="114">
        <v>19705.22308</v>
      </c>
      <c r="U31" s="114">
        <v>0</v>
      </c>
      <c r="V31" s="114">
        <v>18220.582180000001</v>
      </c>
      <c r="W31" s="114">
        <v>0</v>
      </c>
      <c r="X31" s="114">
        <v>18219.182369999999</v>
      </c>
      <c r="Y31" s="114">
        <v>0</v>
      </c>
      <c r="Z31" s="114">
        <v>18224.427629999998</v>
      </c>
      <c r="AA31" s="114">
        <v>0</v>
      </c>
      <c r="AB31" s="114">
        <v>18349.29782</v>
      </c>
      <c r="AC31" s="114">
        <v>0</v>
      </c>
      <c r="AD31" s="114">
        <v>19272.917079999999</v>
      </c>
      <c r="AE31" s="114">
        <v>0</v>
      </c>
      <c r="AF31" s="114">
        <v>26478.32632</v>
      </c>
      <c r="AG31" s="114">
        <v>0</v>
      </c>
      <c r="AH31" s="527"/>
      <c r="AI31" s="106"/>
    </row>
    <row r="32" spans="1:35" s="100" customFormat="1" ht="35.25" customHeight="1" x14ac:dyDescent="0.25">
      <c r="A32" s="441"/>
      <c r="B32" s="473" t="s">
        <v>181</v>
      </c>
      <c r="C32" s="108" t="s">
        <v>20</v>
      </c>
      <c r="D32" s="109">
        <f>D33</f>
        <v>18745.5</v>
      </c>
      <c r="E32" s="109">
        <f t="shared" si="22"/>
        <v>0</v>
      </c>
      <c r="F32" s="109">
        <f t="shared" si="22"/>
        <v>0</v>
      </c>
      <c r="G32" s="109">
        <f t="shared" si="22"/>
        <v>0</v>
      </c>
      <c r="H32" s="109">
        <f t="shared" si="18"/>
        <v>0</v>
      </c>
      <c r="I32" s="109">
        <f t="shared" si="19"/>
        <v>0</v>
      </c>
      <c r="J32" s="110">
        <f t="shared" ref="J32:AG32" si="26">J33</f>
        <v>0</v>
      </c>
      <c r="K32" s="110">
        <f t="shared" si="26"/>
        <v>0</v>
      </c>
      <c r="L32" s="110">
        <f t="shared" si="26"/>
        <v>0</v>
      </c>
      <c r="M32" s="110">
        <f t="shared" si="26"/>
        <v>0</v>
      </c>
      <c r="N32" s="110">
        <f t="shared" si="26"/>
        <v>2247.1210000000001</v>
      </c>
      <c r="O32" s="110">
        <f t="shared" si="26"/>
        <v>0</v>
      </c>
      <c r="P32" s="110">
        <f t="shared" si="26"/>
        <v>2034.9349999999999</v>
      </c>
      <c r="Q32" s="110">
        <f t="shared" si="26"/>
        <v>0</v>
      </c>
      <c r="R32" s="110">
        <f t="shared" si="26"/>
        <v>2015.3340000000001</v>
      </c>
      <c r="S32" s="110">
        <f t="shared" si="26"/>
        <v>0</v>
      </c>
      <c r="T32" s="110">
        <f t="shared" si="26"/>
        <v>1929.4649999999999</v>
      </c>
      <c r="U32" s="110">
        <f t="shared" si="26"/>
        <v>0</v>
      </c>
      <c r="V32" s="110">
        <f t="shared" si="26"/>
        <v>1975.1890000000001</v>
      </c>
      <c r="W32" s="110">
        <f t="shared" si="26"/>
        <v>0</v>
      </c>
      <c r="X32" s="110">
        <f t="shared" si="26"/>
        <v>1878.4649999999999</v>
      </c>
      <c r="Y32" s="110">
        <f t="shared" si="26"/>
        <v>0</v>
      </c>
      <c r="Z32" s="110">
        <f t="shared" si="26"/>
        <v>1818.4649999999999</v>
      </c>
      <c r="AA32" s="110">
        <f t="shared" si="26"/>
        <v>0</v>
      </c>
      <c r="AB32" s="110">
        <f t="shared" si="26"/>
        <v>1889.4649999999999</v>
      </c>
      <c r="AC32" s="110">
        <f t="shared" si="26"/>
        <v>0</v>
      </c>
      <c r="AD32" s="110">
        <f t="shared" si="26"/>
        <v>1779.2650000000001</v>
      </c>
      <c r="AE32" s="110">
        <f t="shared" si="26"/>
        <v>0</v>
      </c>
      <c r="AF32" s="110">
        <f t="shared" si="26"/>
        <v>1177.796</v>
      </c>
      <c r="AG32" s="110">
        <f t="shared" si="26"/>
        <v>0</v>
      </c>
      <c r="AH32" s="111"/>
      <c r="AI32" s="106"/>
    </row>
    <row r="33" spans="1:35" s="33" customFormat="1" ht="42" customHeight="1" x14ac:dyDescent="0.25">
      <c r="A33" s="443"/>
      <c r="B33" s="474"/>
      <c r="C33" s="112" t="s">
        <v>21</v>
      </c>
      <c r="D33" s="113">
        <f>SUM(J33,L33,N33,P33,R33,T33,V33,X33,Z33,AB33,AD33,AF33)</f>
        <v>18745.5</v>
      </c>
      <c r="E33" s="113">
        <f>J33+L33</f>
        <v>0</v>
      </c>
      <c r="F33" s="113">
        <f>G33</f>
        <v>0</v>
      </c>
      <c r="G33" s="113">
        <f>SUM(K33,M33,O33,Q33,S33,U33,W33,Y33,AA33,AC33,AE33,AG33)</f>
        <v>0</v>
      </c>
      <c r="H33" s="113">
        <f t="shared" si="18"/>
        <v>0</v>
      </c>
      <c r="I33" s="113">
        <f t="shared" si="19"/>
        <v>0</v>
      </c>
      <c r="J33" s="114">
        <v>0</v>
      </c>
      <c r="K33" s="114">
        <v>0</v>
      </c>
      <c r="L33" s="114">
        <v>0</v>
      </c>
      <c r="M33" s="114">
        <v>0</v>
      </c>
      <c r="N33" s="114">
        <v>2247.1210000000001</v>
      </c>
      <c r="O33" s="114">
        <v>0</v>
      </c>
      <c r="P33" s="114">
        <v>2034.9349999999999</v>
      </c>
      <c r="Q33" s="114">
        <v>0</v>
      </c>
      <c r="R33" s="114">
        <v>2015.3340000000001</v>
      </c>
      <c r="S33" s="114">
        <v>0</v>
      </c>
      <c r="T33" s="114">
        <v>1929.4649999999999</v>
      </c>
      <c r="U33" s="114">
        <v>0</v>
      </c>
      <c r="V33" s="114">
        <v>1975.1890000000001</v>
      </c>
      <c r="W33" s="114">
        <v>0</v>
      </c>
      <c r="X33" s="114">
        <v>1878.4649999999999</v>
      </c>
      <c r="Y33" s="114">
        <v>0</v>
      </c>
      <c r="Z33" s="114">
        <v>1818.4649999999999</v>
      </c>
      <c r="AA33" s="114">
        <v>0</v>
      </c>
      <c r="AB33" s="114">
        <v>1889.4649999999999</v>
      </c>
      <c r="AC33" s="114">
        <v>0</v>
      </c>
      <c r="AD33" s="114">
        <v>1779.2650000000001</v>
      </c>
      <c r="AE33" s="114">
        <v>0</v>
      </c>
      <c r="AF33" s="114">
        <v>1177.796</v>
      </c>
      <c r="AG33" s="114">
        <v>0</v>
      </c>
      <c r="AH33" s="111"/>
      <c r="AI33" s="106"/>
    </row>
  </sheetData>
  <customSheetViews>
    <customSheetView guid="{2940A182-D1A7-43C5-8D6E-965BED4371B0}" scale="60" state="hidden">
      <pane xSplit="6" ySplit="7" topLeftCell="R20" activePane="bottomRight" state="frozen"/>
      <selection pane="bottomRight" activeCell="AH28" sqref="AH28"/>
      <pageMargins left="0.7" right="0.7" top="0.75" bottom="0.75" header="0.3" footer="0.3"/>
      <pageSetup paperSize="9" orientation="portrait" r:id="rId1"/>
    </customSheetView>
    <customSheetView guid="{BBF6B43F-E0FC-43DF-B91C-674F6AB4B556}" scale="60">
      <pane xSplit="6" ySplit="7" topLeftCell="R20" activePane="bottomRight" state="frozen"/>
      <selection pane="bottomRight" activeCell="AH28" sqref="AH28"/>
      <pageMargins left="0.7" right="0.7" top="0.75" bottom="0.75" header="0.3" footer="0.3"/>
      <pageSetup paperSize="9" orientation="portrait" r:id="rId2"/>
    </customSheetView>
    <customSheetView guid="{30B635D9-57DB-47D5-8A0F-4B30DD769960}" scale="60">
      <pane xSplit="6" ySplit="7" topLeftCell="R20" activePane="bottomRight" state="frozen"/>
      <selection pane="bottomRight" activeCell="AH28" sqref="AH28"/>
      <pageMargins left="0.7" right="0.7" top="0.75" bottom="0.75" header="0.3" footer="0.3"/>
      <pageSetup paperSize="9" orientation="portrait" r:id="rId3"/>
    </customSheetView>
    <customSheetView guid="{DAEDC989-02E7-4319-8354-59410ACF3F1F}" scale="60">
      <pane xSplit="6" ySplit="7" topLeftCell="G17" activePane="bottomRight" state="frozen"/>
      <selection pane="bottomRight" activeCell="AB20" sqref="AB20"/>
      <pageMargins left="0.7" right="0.7" top="0.75" bottom="0.75" header="0.3" footer="0.3"/>
      <pageSetup paperSize="9" orientation="portrait" r:id="rId4"/>
    </customSheetView>
    <customSheetView guid="{21E1D423-7B38-4272-8354-09B4DB62C9EB}" scale="60">
      <pane xSplit="6" ySplit="7" topLeftCell="G8" activePane="bottomRight" state="frozen"/>
      <selection pane="bottomRight" activeCell="AB20" sqref="AB20"/>
      <pageMargins left="0.7" right="0.7" top="0.75" bottom="0.75" header="0.3" footer="0.3"/>
      <pageSetup paperSize="9" orientation="portrait" r:id="rId5"/>
    </customSheetView>
    <customSheetView guid="{EA46B61D-849C-4795-A4FF-F8F1740022EB}" scale="60">
      <pane xSplit="6" ySplit="7" topLeftCell="G8" activePane="bottomRight" state="frozen"/>
      <selection pane="bottomRight" activeCell="AB20" sqref="AB20"/>
      <pageMargins left="0.7" right="0.7" top="0.75" bottom="0.75" header="0.3" footer="0.3"/>
      <pageSetup paperSize="9" orientation="portrait" r:id="rId6"/>
    </customSheetView>
    <customSheetView guid="{A0E2FBF6-E560-4343-8BE6-217DC798135B}" scale="60">
      <pane xSplit="6" ySplit="7" topLeftCell="G8" activePane="bottomRight" state="frozen"/>
      <selection pane="bottomRight" activeCell="AB20" sqref="AB20"/>
      <pageMargins left="0.7" right="0.7" top="0.75" bottom="0.75" header="0.3" footer="0.3"/>
      <pageSetup paperSize="9" orientation="portrait" r:id="rId7"/>
    </customSheetView>
    <customSheetView guid="{20A05A62-CBE8-4538-BBC3-2AD9D3B8FAC0}" scale="60">
      <pane xSplit="6" ySplit="7" topLeftCell="G8" activePane="bottomRight" state="frozen"/>
      <selection pane="bottomRight" activeCell="AB20" sqref="AB20"/>
      <pageMargins left="0.7" right="0.7" top="0.75" bottom="0.75" header="0.3" footer="0.3"/>
      <pageSetup paperSize="9" orientation="portrait" r:id="rId8"/>
    </customSheetView>
    <customSheetView guid="{A4AF2100-C59D-4F60-9EAB-56D9103463F7}" scale="60">
      <pane xSplit="6" ySplit="7" topLeftCell="R20" activePane="bottomRight" state="frozen"/>
      <selection pane="bottomRight" activeCell="AH28" sqref="AH28"/>
      <pageMargins left="0.7" right="0.7" top="0.75" bottom="0.75" header="0.3" footer="0.3"/>
      <pageSetup paperSize="9" orientation="portrait" r:id="rId9"/>
    </customSheetView>
    <customSheetView guid="{519948E4-0B24-465F-9D9E-44BE50D1D647}" scale="60">
      <pane xSplit="6" ySplit="7" topLeftCell="R20" activePane="bottomRight" state="frozen"/>
      <selection pane="bottomRight" activeCell="AH28" sqref="AH28"/>
      <pageMargins left="0.7" right="0.7" top="0.75" bottom="0.75" header="0.3" footer="0.3"/>
      <pageSetup paperSize="9" orientation="portrait" r:id="rId10"/>
    </customSheetView>
    <customSheetView guid="{C7DC638A-7F60-46C9-A1FB-9ADEAE87F332}" scale="60">
      <pane xSplit="6" ySplit="7" topLeftCell="R20" activePane="bottomRight" state="frozen"/>
      <selection pane="bottomRight" activeCell="AH28" sqref="AH28"/>
      <pageMargins left="0.7" right="0.7" top="0.75" bottom="0.75" header="0.3" footer="0.3"/>
      <pageSetup paperSize="9" orientation="portrait" r:id="rId11"/>
    </customSheetView>
    <customSheetView guid="{2A5A11D4-90C6-4A3E-8165-7D7BD634B22F}" scale="60">
      <pane xSplit="6" ySplit="7" topLeftCell="G8" activePane="bottomRight" state="frozen"/>
      <selection pane="bottomRight" activeCell="AB20" sqref="AB20"/>
      <pageMargins left="0.7" right="0.7" top="0.75" bottom="0.75" header="0.3" footer="0.3"/>
      <pageSetup paperSize="9" orientation="portrait" r:id="rId12"/>
    </customSheetView>
    <customSheetView guid="{562453CE-35F5-40A3-AD14-6399D1197C99}" scale="60">
      <pane xSplit="6" ySplit="7" topLeftCell="G8" activePane="bottomRight" state="frozen"/>
      <selection pane="bottomRight" activeCell="AB20" sqref="AB20"/>
      <pageMargins left="0.7" right="0.7" top="0.75" bottom="0.75" header="0.3" footer="0.3"/>
      <pageSetup paperSize="9" orientation="portrait" r:id="rId13"/>
    </customSheetView>
    <customSheetView guid="{B6B60ED6-A6CC-4DA7-A8CA-5E6DB52D5A87}" scale="60">
      <pane xSplit="6" ySplit="7" topLeftCell="R20" activePane="bottomRight" state="frozen"/>
      <selection pane="bottomRight" activeCell="AH28" sqref="AH28"/>
      <pageMargins left="0.7" right="0.7" top="0.75" bottom="0.75" header="0.3" footer="0.3"/>
      <pageSetup paperSize="9" orientation="portrait" r:id="rId14"/>
    </customSheetView>
    <customSheetView guid="{133BB3F8-8DD4-4AEF-8CD6-A5FB14681329}" scale="60">
      <pane xSplit="6" ySplit="7" topLeftCell="G8" activePane="bottomRight" state="frozen"/>
      <selection pane="bottomRight" activeCell="AB20" sqref="AB20"/>
      <pageMargins left="0.7" right="0.7" top="0.75" bottom="0.75" header="0.3" footer="0.3"/>
      <pageSetup paperSize="9" orientation="portrait" r:id="rId15"/>
    </customSheetView>
    <customSheetView guid="{5DF2C78B-5EE4-439D-8D72-8D3A913B65F9}" scale="60">
      <pane xSplit="6" ySplit="7" topLeftCell="R20" activePane="bottomRight" state="frozen"/>
      <selection pane="bottomRight" activeCell="AH28" sqref="AH28"/>
      <pageMargins left="0.7" right="0.7" top="0.75" bottom="0.75" header="0.3" footer="0.3"/>
      <pageSetup paperSize="9" orientation="portrait" r:id="rId16"/>
    </customSheetView>
    <customSheetView guid="{60A1F930-4BEC-460A-8E14-01E47F6DD055}" scale="60">
      <pane xSplit="6" ySplit="7" topLeftCell="G8" activePane="bottomRight" state="frozen"/>
      <selection pane="bottomRight" activeCell="AB20" sqref="AB20"/>
      <pageMargins left="0.7" right="0.7" top="0.75" bottom="0.75" header="0.3" footer="0.3"/>
      <pageSetup paperSize="9" orientation="portrait" r:id="rId17"/>
    </customSheetView>
    <customSheetView guid="{7C5A2A36-3D69-43D9-9018-A52C27EC78F9}" scale="60">
      <pane xSplit="6" ySplit="7" topLeftCell="G8" activePane="bottomRight" state="frozen"/>
      <selection pane="bottomRight" activeCell="AB20" sqref="AB20"/>
      <pageMargins left="0.7" right="0.7" top="0.75" bottom="0.75" header="0.3" footer="0.3"/>
      <pageSetup paperSize="9" orientation="portrait" r:id="rId18"/>
    </customSheetView>
    <customSheetView guid="{C282AA4E-1BB5-4296-9AC6-844C0F88E5FC}" scale="60">
      <pane xSplit="6" ySplit="7" topLeftCell="G8" activePane="bottomRight" state="frozen"/>
      <selection pane="bottomRight" activeCell="AB20" sqref="AB20"/>
      <pageMargins left="0.7" right="0.7" top="0.75" bottom="0.75" header="0.3" footer="0.3"/>
      <pageSetup paperSize="9" orientation="portrait" r:id="rId19"/>
    </customSheetView>
    <customSheetView guid="{996EC2F0-F6EC-4E63-A83E-34865157BD8D}" scale="60">
      <pane xSplit="6" ySplit="7" topLeftCell="R20" activePane="bottomRight" state="frozen"/>
      <selection pane="bottomRight" activeCell="AH28" sqref="AH28"/>
      <pageMargins left="0.7" right="0.7" top="0.75" bottom="0.75" header="0.3" footer="0.3"/>
      <pageSetup paperSize="9" orientation="portrait" r:id="rId20"/>
    </customSheetView>
    <customSheetView guid="{AFADB96A-0516-43C1-9F1B-0604F3CAC04A}" scale="60">
      <pane xSplit="6" ySplit="7" topLeftCell="G8" activePane="bottomRight" state="frozen"/>
      <selection pane="bottomRight" activeCell="AB20" sqref="AB20"/>
      <pageMargins left="0.7" right="0.7" top="0.75" bottom="0.75" header="0.3" footer="0.3"/>
      <pageSetup paperSize="9" orientation="portrait" r:id="rId21"/>
    </customSheetView>
  </customSheetViews>
  <mergeCells count="49">
    <mergeCell ref="C2:S2"/>
    <mergeCell ref="C3:S3"/>
    <mergeCell ref="A4:A6"/>
    <mergeCell ref="B4:B6"/>
    <mergeCell ref="C4:C6"/>
    <mergeCell ref="D4:D5"/>
    <mergeCell ref="E4:E5"/>
    <mergeCell ref="F4:F5"/>
    <mergeCell ref="G4:G5"/>
    <mergeCell ref="H4:I5"/>
    <mergeCell ref="AD4:AE5"/>
    <mergeCell ref="AF4:AG5"/>
    <mergeCell ref="J4:K5"/>
    <mergeCell ref="L4:M5"/>
    <mergeCell ref="N4:O5"/>
    <mergeCell ref="P4:Q5"/>
    <mergeCell ref="R4:S5"/>
    <mergeCell ref="T4:U5"/>
    <mergeCell ref="AH19:AH22"/>
    <mergeCell ref="A21:A22"/>
    <mergeCell ref="B21:B22"/>
    <mergeCell ref="AH4:AH6"/>
    <mergeCell ref="A8:A10"/>
    <mergeCell ref="B8:B10"/>
    <mergeCell ref="B11:AG11"/>
    <mergeCell ref="A12:A13"/>
    <mergeCell ref="B12:B14"/>
    <mergeCell ref="AH12:AH17"/>
    <mergeCell ref="A15:A16"/>
    <mergeCell ref="B15:B17"/>
    <mergeCell ref="V4:W5"/>
    <mergeCell ref="X4:Y5"/>
    <mergeCell ref="Z4:AA5"/>
    <mergeCell ref="AB4:AC5"/>
    <mergeCell ref="A28:A29"/>
    <mergeCell ref="B28:B29"/>
    <mergeCell ref="B18:AG18"/>
    <mergeCell ref="A19:A20"/>
    <mergeCell ref="B19:B20"/>
    <mergeCell ref="B23:AG23"/>
    <mergeCell ref="A24:A25"/>
    <mergeCell ref="B24:B25"/>
    <mergeCell ref="A26:A27"/>
    <mergeCell ref="B26:B27"/>
    <mergeCell ref="A30:A31"/>
    <mergeCell ref="B30:B31"/>
    <mergeCell ref="AH30:AH31"/>
    <mergeCell ref="A32:A33"/>
    <mergeCell ref="B32:B33"/>
  </mergeCells>
  <pageMargins left="0.7" right="0.7" top="0.75" bottom="0.75" header="0.3" footer="0.3"/>
  <pageSetup paperSize="9" orientation="portrait" r:id="rId2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32"/>
  <sheetViews>
    <sheetView zoomScale="70" zoomScaleNormal="70" workbookViewId="0">
      <pane xSplit="6" ySplit="7" topLeftCell="G8" activePane="bottomRight" state="frozen"/>
      <selection pane="topRight" activeCell="G1" sqref="G1"/>
      <selection pane="bottomLeft" activeCell="A8" sqref="A8"/>
      <selection pane="bottomRight" activeCell="H42" sqref="H42"/>
    </sheetView>
  </sheetViews>
  <sheetFormatPr defaultColWidth="9.140625" defaultRowHeight="15" x14ac:dyDescent="0.25"/>
  <cols>
    <col min="1" max="1" width="6.5703125" style="8" customWidth="1"/>
    <col min="2" max="2" width="42.140625" style="8" customWidth="1"/>
    <col min="3" max="3" width="18.5703125" style="9" customWidth="1"/>
    <col min="4" max="4" width="18" style="8" customWidth="1"/>
    <col min="5" max="5" width="14.7109375" style="8" customWidth="1"/>
    <col min="6" max="6" width="15" style="8" customWidth="1"/>
    <col min="7" max="7" width="13.85546875" style="8" customWidth="1"/>
    <col min="8" max="8" width="12.140625" style="8" customWidth="1"/>
    <col min="9" max="9" width="10.85546875" style="8" customWidth="1"/>
    <col min="10" max="10" width="14.28515625" style="8" customWidth="1"/>
    <col min="11" max="11" width="13.5703125" style="8" customWidth="1"/>
    <col min="12" max="12" width="13.85546875" style="8" customWidth="1"/>
    <col min="13" max="13" width="13" style="8" customWidth="1"/>
    <col min="14" max="14" width="13.42578125" style="8" customWidth="1"/>
    <col min="15" max="15" width="11.5703125" style="8" customWidth="1"/>
    <col min="16" max="16" width="13.4257812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6.140625" style="8" customWidth="1"/>
    <col min="27" max="27" width="11.5703125" style="8" customWidth="1"/>
    <col min="28" max="28" width="14.85546875" style="8" customWidth="1"/>
    <col min="29" max="29" width="11.5703125" style="8" customWidth="1"/>
    <col min="30" max="30" width="13.42578125" style="8" customWidth="1"/>
    <col min="31" max="33" width="11.5703125" style="8" customWidth="1"/>
    <col min="34" max="34" width="38.5703125" style="8" customWidth="1"/>
    <col min="35" max="16384" width="9.140625" style="8"/>
  </cols>
  <sheetData>
    <row r="1" spans="1:35" s="10" customFormat="1" ht="23.25" customHeight="1" x14ac:dyDescent="0.25">
      <c r="C1" s="12"/>
      <c r="D1" s="13"/>
      <c r="E1" s="13"/>
      <c r="F1" s="13"/>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5" s="10" customFormat="1" ht="15.75" x14ac:dyDescent="0.25">
      <c r="A2" s="55"/>
      <c r="B2" s="55"/>
      <c r="C2" s="346" t="s">
        <v>24</v>
      </c>
      <c r="D2" s="346"/>
      <c r="E2" s="346"/>
      <c r="F2" s="346"/>
      <c r="G2" s="346"/>
      <c r="H2" s="346"/>
      <c r="I2" s="346"/>
      <c r="J2" s="346"/>
      <c r="K2" s="346"/>
      <c r="L2" s="346"/>
      <c r="M2" s="346"/>
      <c r="N2" s="346"/>
      <c r="O2" s="346"/>
      <c r="P2" s="346"/>
      <c r="Q2" s="346"/>
      <c r="R2" s="346"/>
      <c r="S2" s="346"/>
      <c r="T2" s="35"/>
      <c r="U2" s="35"/>
      <c r="V2" s="35"/>
      <c r="W2" s="35"/>
      <c r="X2" s="35"/>
      <c r="Y2" s="35"/>
      <c r="Z2" s="35"/>
      <c r="AA2" s="35"/>
      <c r="AB2" s="35"/>
      <c r="AC2" s="35"/>
      <c r="AD2" s="35"/>
      <c r="AE2" s="35"/>
      <c r="AF2" s="35"/>
      <c r="AG2" s="35"/>
      <c r="AH2" s="35"/>
    </row>
    <row r="3" spans="1:35" s="10" customFormat="1" ht="36.75" customHeight="1" x14ac:dyDescent="0.25">
      <c r="A3" s="55"/>
      <c r="B3" s="55"/>
      <c r="C3" s="347" t="s">
        <v>192</v>
      </c>
      <c r="D3" s="347"/>
      <c r="E3" s="347"/>
      <c r="F3" s="347"/>
      <c r="G3" s="347"/>
      <c r="H3" s="347"/>
      <c r="I3" s="347"/>
      <c r="J3" s="347"/>
      <c r="K3" s="347"/>
      <c r="L3" s="347"/>
      <c r="M3" s="347"/>
      <c r="N3" s="347"/>
      <c r="O3" s="347"/>
      <c r="P3" s="347"/>
      <c r="Q3" s="347"/>
      <c r="R3" s="347"/>
      <c r="S3" s="347"/>
      <c r="T3" s="36"/>
      <c r="U3" s="36"/>
      <c r="V3" s="36"/>
      <c r="W3" s="36"/>
      <c r="X3" s="36"/>
      <c r="Y3" s="36"/>
      <c r="Z3" s="36"/>
      <c r="AA3" s="36"/>
      <c r="AB3" s="36"/>
      <c r="AC3" s="36"/>
      <c r="AD3" s="37"/>
      <c r="AE3" s="37"/>
      <c r="AF3" s="37"/>
      <c r="AG3" s="37" t="s">
        <v>0</v>
      </c>
      <c r="AH3" s="37"/>
    </row>
    <row r="4" spans="1:35" s="10" customFormat="1" ht="15" customHeight="1" x14ac:dyDescent="0.25">
      <c r="A4" s="348" t="s">
        <v>26</v>
      </c>
      <c r="B4" s="351" t="s">
        <v>29</v>
      </c>
      <c r="C4" s="351" t="s">
        <v>30</v>
      </c>
      <c r="D4" s="359"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10" customFormat="1" ht="39" customHeight="1" x14ac:dyDescent="0.25">
      <c r="A5" s="349"/>
      <c r="B5" s="352"/>
      <c r="C5" s="352"/>
      <c r="D5" s="360"/>
      <c r="E5" s="360"/>
      <c r="F5" s="360"/>
      <c r="G5" s="360"/>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5" s="10" customFormat="1" ht="64.5" customHeight="1" x14ac:dyDescent="0.25">
      <c r="A6" s="350"/>
      <c r="B6" s="353"/>
      <c r="C6" s="353"/>
      <c r="D6" s="38">
        <v>2025</v>
      </c>
      <c r="E6" s="39">
        <v>45748</v>
      </c>
      <c r="F6" s="39">
        <v>45748</v>
      </c>
      <c r="G6" s="39">
        <v>45748</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32" customFormat="1" ht="15.75" x14ac:dyDescent="0.25">
      <c r="A7" s="40">
        <v>1</v>
      </c>
      <c r="B7" s="40">
        <v>2</v>
      </c>
      <c r="C7" s="40">
        <v>3</v>
      </c>
      <c r="D7" s="40">
        <v>4</v>
      </c>
      <c r="E7" s="40">
        <v>5</v>
      </c>
      <c r="F7" s="40">
        <v>6</v>
      </c>
      <c r="G7" s="40">
        <v>7</v>
      </c>
      <c r="H7" s="40">
        <v>8</v>
      </c>
      <c r="I7" s="40">
        <v>9</v>
      </c>
      <c r="J7" s="40">
        <v>10</v>
      </c>
      <c r="K7" s="40">
        <v>11</v>
      </c>
      <c r="L7" s="40">
        <v>12</v>
      </c>
      <c r="M7" s="40">
        <v>13</v>
      </c>
      <c r="N7" s="40">
        <v>14</v>
      </c>
      <c r="O7" s="40">
        <v>15</v>
      </c>
      <c r="P7" s="40">
        <v>16</v>
      </c>
      <c r="Q7" s="40">
        <v>17</v>
      </c>
      <c r="R7" s="40">
        <v>18</v>
      </c>
      <c r="S7" s="40">
        <v>19</v>
      </c>
      <c r="T7" s="40">
        <v>20</v>
      </c>
      <c r="U7" s="40">
        <v>21</v>
      </c>
      <c r="V7" s="40">
        <v>22</v>
      </c>
      <c r="W7" s="40">
        <v>23</v>
      </c>
      <c r="X7" s="40">
        <v>24</v>
      </c>
      <c r="Y7" s="40">
        <v>25</v>
      </c>
      <c r="Z7" s="40">
        <v>26</v>
      </c>
      <c r="AA7" s="40">
        <v>27</v>
      </c>
      <c r="AB7" s="40">
        <v>28</v>
      </c>
      <c r="AC7" s="40">
        <v>29</v>
      </c>
      <c r="AD7" s="40">
        <v>30</v>
      </c>
      <c r="AE7" s="40">
        <v>31</v>
      </c>
      <c r="AF7" s="40">
        <v>32</v>
      </c>
      <c r="AG7" s="40">
        <v>33</v>
      </c>
      <c r="AH7" s="40">
        <v>34</v>
      </c>
    </row>
    <row r="8" spans="1:35" s="25" customFormat="1" ht="31.5" customHeight="1" x14ac:dyDescent="0.25">
      <c r="A8" s="364"/>
      <c r="B8" s="367" t="s">
        <v>23</v>
      </c>
      <c r="C8" s="69" t="s">
        <v>20</v>
      </c>
      <c r="D8" s="71">
        <f t="shared" ref="D8:AF8" si="0">D9</f>
        <v>1458.7</v>
      </c>
      <c r="E8" s="71">
        <f t="shared" si="0"/>
        <v>0</v>
      </c>
      <c r="F8" s="71">
        <f t="shared" si="0"/>
        <v>107.4</v>
      </c>
      <c r="G8" s="71">
        <f t="shared" si="0"/>
        <v>107.4</v>
      </c>
      <c r="H8" s="71">
        <f>IFERROR(G8/D8*100,0)</f>
        <v>7.3627202303420862</v>
      </c>
      <c r="I8" s="71">
        <f>IFERROR(G8/E8*100,0)</f>
        <v>0</v>
      </c>
      <c r="J8" s="71">
        <f t="shared" si="0"/>
        <v>0</v>
      </c>
      <c r="K8" s="71">
        <f t="shared" si="0"/>
        <v>0</v>
      </c>
      <c r="L8" s="71">
        <f t="shared" si="0"/>
        <v>0</v>
      </c>
      <c r="M8" s="71">
        <f t="shared" si="0"/>
        <v>0</v>
      </c>
      <c r="N8" s="71">
        <f t="shared" si="0"/>
        <v>148.69999999999999</v>
      </c>
      <c r="O8" s="71">
        <f t="shared" si="0"/>
        <v>107.4</v>
      </c>
      <c r="P8" s="71">
        <f t="shared" si="0"/>
        <v>0</v>
      </c>
      <c r="Q8" s="71">
        <f t="shared" si="0"/>
        <v>0</v>
      </c>
      <c r="R8" s="71">
        <f t="shared" si="0"/>
        <v>0</v>
      </c>
      <c r="S8" s="71">
        <f t="shared" si="0"/>
        <v>0</v>
      </c>
      <c r="T8" s="71">
        <f t="shared" si="0"/>
        <v>0</v>
      </c>
      <c r="U8" s="71">
        <f t="shared" si="0"/>
        <v>0</v>
      </c>
      <c r="V8" s="71">
        <f t="shared" si="0"/>
        <v>944.5</v>
      </c>
      <c r="W8" s="71">
        <f t="shared" si="0"/>
        <v>0</v>
      </c>
      <c r="X8" s="71">
        <f t="shared" si="0"/>
        <v>6.7</v>
      </c>
      <c r="Y8" s="71">
        <f t="shared" si="0"/>
        <v>0</v>
      </c>
      <c r="Z8" s="71">
        <f t="shared" si="0"/>
        <v>9</v>
      </c>
      <c r="AA8" s="71">
        <f t="shared" si="0"/>
        <v>0</v>
      </c>
      <c r="AB8" s="71">
        <f t="shared" si="0"/>
        <v>40</v>
      </c>
      <c r="AC8" s="71">
        <f t="shared" si="0"/>
        <v>0</v>
      </c>
      <c r="AD8" s="71">
        <f t="shared" si="0"/>
        <v>309.8</v>
      </c>
      <c r="AE8" s="71">
        <f t="shared" si="0"/>
        <v>0</v>
      </c>
      <c r="AF8" s="71">
        <f t="shared" si="0"/>
        <v>0</v>
      </c>
      <c r="AG8" s="71">
        <f>AG9</f>
        <v>0</v>
      </c>
      <c r="AH8" s="72"/>
    </row>
    <row r="9" spans="1:35" s="26" customFormat="1" ht="41.25" customHeight="1" x14ac:dyDescent="0.25">
      <c r="A9" s="366"/>
      <c r="B9" s="369"/>
      <c r="C9" s="73" t="s">
        <v>21</v>
      </c>
      <c r="D9" s="74">
        <f>J9+L9+N9+P9+R9+T9+V9+X9+Z9+AB9+AD9+AF9</f>
        <v>1458.7</v>
      </c>
      <c r="E9" s="74">
        <f>J9</f>
        <v>0</v>
      </c>
      <c r="F9" s="74">
        <f>G9</f>
        <v>107.4</v>
      </c>
      <c r="G9" s="74">
        <f>K9+M9+O9+Q9+S9+U9+W9+Y9+AA9+AC9+AE9+AG9</f>
        <v>107.4</v>
      </c>
      <c r="H9" s="71">
        <f>IFERROR(G9/D9*100,0)</f>
        <v>7.3627202303420862</v>
      </c>
      <c r="I9" s="71">
        <f>IFERROR(G9/E9*100,0)</f>
        <v>0</v>
      </c>
      <c r="J9" s="74">
        <f t="shared" ref="J9:AF9" si="1">J12+J21+J30</f>
        <v>0</v>
      </c>
      <c r="K9" s="74">
        <f t="shared" si="1"/>
        <v>0</v>
      </c>
      <c r="L9" s="74">
        <f t="shared" si="1"/>
        <v>0</v>
      </c>
      <c r="M9" s="74">
        <f t="shared" si="1"/>
        <v>0</v>
      </c>
      <c r="N9" s="74">
        <f t="shared" si="1"/>
        <v>148.69999999999999</v>
      </c>
      <c r="O9" s="74">
        <f t="shared" si="1"/>
        <v>107.4</v>
      </c>
      <c r="P9" s="74">
        <f t="shared" si="1"/>
        <v>0</v>
      </c>
      <c r="Q9" s="74">
        <f t="shared" si="1"/>
        <v>0</v>
      </c>
      <c r="R9" s="74">
        <f t="shared" si="1"/>
        <v>0</v>
      </c>
      <c r="S9" s="74">
        <f t="shared" si="1"/>
        <v>0</v>
      </c>
      <c r="T9" s="74">
        <f t="shared" si="1"/>
        <v>0</v>
      </c>
      <c r="U9" s="74">
        <f t="shared" si="1"/>
        <v>0</v>
      </c>
      <c r="V9" s="74">
        <f t="shared" si="1"/>
        <v>944.5</v>
      </c>
      <c r="W9" s="74">
        <f t="shared" si="1"/>
        <v>0</v>
      </c>
      <c r="X9" s="74">
        <f t="shared" si="1"/>
        <v>6.7</v>
      </c>
      <c r="Y9" s="74">
        <f t="shared" si="1"/>
        <v>0</v>
      </c>
      <c r="Z9" s="74">
        <f t="shared" si="1"/>
        <v>9</v>
      </c>
      <c r="AA9" s="74">
        <f t="shared" si="1"/>
        <v>0</v>
      </c>
      <c r="AB9" s="74">
        <f t="shared" si="1"/>
        <v>40</v>
      </c>
      <c r="AC9" s="74">
        <f t="shared" si="1"/>
        <v>0</v>
      </c>
      <c r="AD9" s="74">
        <f t="shared" si="1"/>
        <v>309.8</v>
      </c>
      <c r="AE9" s="74">
        <f t="shared" si="1"/>
        <v>0</v>
      </c>
      <c r="AF9" s="74">
        <f t="shared" si="1"/>
        <v>0</v>
      </c>
      <c r="AG9" s="74">
        <f>AG12+AG21+AG30</f>
        <v>0</v>
      </c>
      <c r="AH9" s="75"/>
    </row>
    <row r="10" spans="1:35" s="18" customFormat="1" ht="18.75" customHeight="1" x14ac:dyDescent="0.25">
      <c r="A10" s="118" t="s">
        <v>152</v>
      </c>
      <c r="B10" s="370" t="s">
        <v>193</v>
      </c>
      <c r="C10" s="371"/>
      <c r="D10" s="371"/>
      <c r="E10" s="371"/>
      <c r="F10" s="371"/>
      <c r="G10" s="371"/>
      <c r="H10" s="371"/>
      <c r="I10" s="371"/>
      <c r="J10" s="371"/>
      <c r="K10" s="371"/>
      <c r="L10" s="371"/>
      <c r="M10" s="371"/>
      <c r="N10" s="371"/>
      <c r="O10" s="371"/>
      <c r="P10" s="371"/>
      <c r="Q10" s="371"/>
      <c r="R10" s="371"/>
      <c r="S10" s="371"/>
      <c r="T10" s="371"/>
      <c r="U10" s="371"/>
      <c r="V10" s="371"/>
      <c r="W10" s="371"/>
      <c r="X10" s="371"/>
      <c r="Y10" s="371"/>
      <c r="Z10" s="371"/>
      <c r="AA10" s="371"/>
      <c r="AB10" s="371"/>
      <c r="AC10" s="371"/>
      <c r="AD10" s="371"/>
      <c r="AE10" s="371"/>
      <c r="AF10" s="371"/>
      <c r="AG10" s="372"/>
      <c r="AH10" s="46"/>
    </row>
    <row r="11" spans="1:35" s="22" customFormat="1" ht="50.25" customHeight="1" x14ac:dyDescent="0.25">
      <c r="A11" s="379" t="s">
        <v>37</v>
      </c>
      <c r="B11" s="361" t="s">
        <v>194</v>
      </c>
      <c r="C11" s="57" t="s">
        <v>20</v>
      </c>
      <c r="D11" s="58">
        <f>D12</f>
        <v>309.8</v>
      </c>
      <c r="E11" s="58">
        <f>E12</f>
        <v>0</v>
      </c>
      <c r="F11" s="58">
        <f>F12</f>
        <v>0</v>
      </c>
      <c r="G11" s="58">
        <f>G12</f>
        <v>0</v>
      </c>
      <c r="H11" s="58">
        <f t="shared" ref="H11" si="2">IFERROR(G11/D11*100,0)</f>
        <v>0</v>
      </c>
      <c r="I11" s="58">
        <f t="shared" ref="I11" si="3">IFERROR(G11/E11*100,0)</f>
        <v>0</v>
      </c>
      <c r="J11" s="59">
        <f t="shared" ref="J11:AF11" si="4">J12</f>
        <v>0</v>
      </c>
      <c r="K11" s="59">
        <f t="shared" si="4"/>
        <v>0</v>
      </c>
      <c r="L11" s="59">
        <f t="shared" si="4"/>
        <v>0</v>
      </c>
      <c r="M11" s="59">
        <f t="shared" si="4"/>
        <v>0</v>
      </c>
      <c r="N11" s="59">
        <f t="shared" si="4"/>
        <v>0</v>
      </c>
      <c r="O11" s="59">
        <f t="shared" si="4"/>
        <v>0</v>
      </c>
      <c r="P11" s="59">
        <f t="shared" si="4"/>
        <v>0</v>
      </c>
      <c r="Q11" s="59">
        <f t="shared" si="4"/>
        <v>0</v>
      </c>
      <c r="R11" s="59">
        <f t="shared" si="4"/>
        <v>0</v>
      </c>
      <c r="S11" s="59">
        <f t="shared" si="4"/>
        <v>0</v>
      </c>
      <c r="T11" s="59">
        <f t="shared" si="4"/>
        <v>0</v>
      </c>
      <c r="U11" s="59">
        <f t="shared" si="4"/>
        <v>0</v>
      </c>
      <c r="V11" s="59">
        <f t="shared" si="4"/>
        <v>0</v>
      </c>
      <c r="W11" s="59">
        <f t="shared" si="4"/>
        <v>0</v>
      </c>
      <c r="X11" s="59">
        <f t="shared" si="4"/>
        <v>0</v>
      </c>
      <c r="Y11" s="59">
        <f t="shared" si="4"/>
        <v>0</v>
      </c>
      <c r="Z11" s="59">
        <f t="shared" si="4"/>
        <v>0</v>
      </c>
      <c r="AA11" s="59">
        <f t="shared" si="4"/>
        <v>0</v>
      </c>
      <c r="AB11" s="59">
        <f t="shared" si="4"/>
        <v>0</v>
      </c>
      <c r="AC11" s="59">
        <f t="shared" si="4"/>
        <v>0</v>
      </c>
      <c r="AD11" s="59">
        <f t="shared" si="4"/>
        <v>309.8</v>
      </c>
      <c r="AE11" s="59">
        <f t="shared" si="4"/>
        <v>0</v>
      </c>
      <c r="AF11" s="59">
        <f t="shared" si="4"/>
        <v>0</v>
      </c>
      <c r="AG11" s="59">
        <f>AG12</f>
        <v>0</v>
      </c>
      <c r="AH11" s="60"/>
      <c r="AI11" s="20"/>
    </row>
    <row r="12" spans="1:35" s="26" customFormat="1" ht="71.25" customHeight="1" x14ac:dyDescent="0.25">
      <c r="A12" s="374"/>
      <c r="B12" s="362"/>
      <c r="C12" s="73" t="s">
        <v>21</v>
      </c>
      <c r="D12" s="74">
        <f>SUM(J12,L12,N12,P12,R12,T12,V12,X12,Z12,AB12,AD12,AF12)</f>
        <v>309.8</v>
      </c>
      <c r="E12" s="74">
        <f>J12</f>
        <v>0</v>
      </c>
      <c r="F12" s="74">
        <f>G12</f>
        <v>0</v>
      </c>
      <c r="G12" s="74">
        <f>SUM(K12,M12,O12,Q12,S12,U12,W12,Y12,AA12,AC12,AE12,AG12)</f>
        <v>0</v>
      </c>
      <c r="H12" s="70">
        <f t="shared" ref="H12:H18" si="5">IFERROR(G12/D12*100,0)</f>
        <v>0</v>
      </c>
      <c r="I12" s="70">
        <f t="shared" ref="I12:I18" si="6">IFERROR(G12/E12*100,0)</f>
        <v>0</v>
      </c>
      <c r="J12" s="67">
        <f t="shared" ref="J12:AF12" si="7">J14+J16+J18</f>
        <v>0</v>
      </c>
      <c r="K12" s="67">
        <f t="shared" si="7"/>
        <v>0</v>
      </c>
      <c r="L12" s="67">
        <f t="shared" si="7"/>
        <v>0</v>
      </c>
      <c r="M12" s="67">
        <f t="shared" si="7"/>
        <v>0</v>
      </c>
      <c r="N12" s="67">
        <f t="shared" si="7"/>
        <v>0</v>
      </c>
      <c r="O12" s="67">
        <f t="shared" si="7"/>
        <v>0</v>
      </c>
      <c r="P12" s="67">
        <f t="shared" si="7"/>
        <v>0</v>
      </c>
      <c r="Q12" s="67">
        <f t="shared" si="7"/>
        <v>0</v>
      </c>
      <c r="R12" s="67">
        <f t="shared" si="7"/>
        <v>0</v>
      </c>
      <c r="S12" s="67">
        <f t="shared" si="7"/>
        <v>0</v>
      </c>
      <c r="T12" s="67">
        <f t="shared" si="7"/>
        <v>0</v>
      </c>
      <c r="U12" s="67">
        <f t="shared" si="7"/>
        <v>0</v>
      </c>
      <c r="V12" s="67">
        <f t="shared" si="7"/>
        <v>0</v>
      </c>
      <c r="W12" s="67">
        <f t="shared" si="7"/>
        <v>0</v>
      </c>
      <c r="X12" s="67">
        <f t="shared" si="7"/>
        <v>0</v>
      </c>
      <c r="Y12" s="67">
        <f t="shared" si="7"/>
        <v>0</v>
      </c>
      <c r="Z12" s="67">
        <f t="shared" si="7"/>
        <v>0</v>
      </c>
      <c r="AA12" s="67">
        <f t="shared" si="7"/>
        <v>0</v>
      </c>
      <c r="AB12" s="67">
        <f t="shared" si="7"/>
        <v>0</v>
      </c>
      <c r="AC12" s="67">
        <f t="shared" si="7"/>
        <v>0</v>
      </c>
      <c r="AD12" s="67">
        <f t="shared" si="7"/>
        <v>309.8</v>
      </c>
      <c r="AE12" s="67">
        <f t="shared" si="7"/>
        <v>0</v>
      </c>
      <c r="AF12" s="67">
        <f t="shared" si="7"/>
        <v>0</v>
      </c>
      <c r="AG12" s="67">
        <f>AG14+AG16+AG18</f>
        <v>0</v>
      </c>
      <c r="AH12" s="72"/>
      <c r="AI12" s="24"/>
    </row>
    <row r="13" spans="1:35" s="22" customFormat="1" ht="99" customHeight="1" x14ac:dyDescent="0.25">
      <c r="A13" s="379"/>
      <c r="B13" s="384" t="s">
        <v>195</v>
      </c>
      <c r="C13" s="57" t="s">
        <v>20</v>
      </c>
      <c r="D13" s="58">
        <f>D14</f>
        <v>0</v>
      </c>
      <c r="E13" s="58">
        <f>E14</f>
        <v>0</v>
      </c>
      <c r="F13" s="58">
        <f>F14</f>
        <v>0</v>
      </c>
      <c r="G13" s="58">
        <f>G14</f>
        <v>0</v>
      </c>
      <c r="H13" s="58">
        <f t="shared" si="5"/>
        <v>0</v>
      </c>
      <c r="I13" s="58">
        <f t="shared" si="6"/>
        <v>0</v>
      </c>
      <c r="J13" s="59">
        <f t="shared" ref="J13:AF13" si="8">J14</f>
        <v>0</v>
      </c>
      <c r="K13" s="59">
        <f t="shared" si="8"/>
        <v>0</v>
      </c>
      <c r="L13" s="59">
        <f t="shared" si="8"/>
        <v>0</v>
      </c>
      <c r="M13" s="59">
        <f t="shared" si="8"/>
        <v>0</v>
      </c>
      <c r="N13" s="59">
        <f t="shared" si="8"/>
        <v>0</v>
      </c>
      <c r="O13" s="59">
        <f t="shared" si="8"/>
        <v>0</v>
      </c>
      <c r="P13" s="59">
        <f t="shared" si="8"/>
        <v>0</v>
      </c>
      <c r="Q13" s="59">
        <f t="shared" si="8"/>
        <v>0</v>
      </c>
      <c r="R13" s="59">
        <f t="shared" si="8"/>
        <v>0</v>
      </c>
      <c r="S13" s="59">
        <f t="shared" si="8"/>
        <v>0</v>
      </c>
      <c r="T13" s="59">
        <f t="shared" si="8"/>
        <v>0</v>
      </c>
      <c r="U13" s="59">
        <f t="shared" si="8"/>
        <v>0</v>
      </c>
      <c r="V13" s="59">
        <f t="shared" si="8"/>
        <v>0</v>
      </c>
      <c r="W13" s="59">
        <f t="shared" si="8"/>
        <v>0</v>
      </c>
      <c r="X13" s="59">
        <f t="shared" si="8"/>
        <v>0</v>
      </c>
      <c r="Y13" s="59">
        <f t="shared" si="8"/>
        <v>0</v>
      </c>
      <c r="Z13" s="59">
        <f t="shared" si="8"/>
        <v>0</v>
      </c>
      <c r="AA13" s="59">
        <f t="shared" si="8"/>
        <v>0</v>
      </c>
      <c r="AB13" s="59">
        <f t="shared" si="8"/>
        <v>0</v>
      </c>
      <c r="AC13" s="59">
        <f t="shared" si="8"/>
        <v>0</v>
      </c>
      <c r="AD13" s="59">
        <f t="shared" si="8"/>
        <v>0</v>
      </c>
      <c r="AE13" s="59">
        <f t="shared" si="8"/>
        <v>0</v>
      </c>
      <c r="AF13" s="59">
        <f t="shared" si="8"/>
        <v>0</v>
      </c>
      <c r="AG13" s="59">
        <f>AG14</f>
        <v>0</v>
      </c>
      <c r="AH13" s="60"/>
      <c r="AI13" s="20"/>
    </row>
    <row r="14" spans="1:35" s="22" customFormat="1" ht="109.5" customHeight="1" x14ac:dyDescent="0.25">
      <c r="A14" s="374"/>
      <c r="B14" s="385"/>
      <c r="C14" s="61" t="s">
        <v>21</v>
      </c>
      <c r="D14" s="62">
        <f>SUM(J14,L14,N14,P14,R14,T14,V14,X14,Z14,AB14,AD14,AF14)</f>
        <v>0</v>
      </c>
      <c r="E14" s="62">
        <f>J14</f>
        <v>0</v>
      </c>
      <c r="F14" s="62">
        <f>G14</f>
        <v>0</v>
      </c>
      <c r="G14" s="62">
        <f>SUM(K14,M14,O14,Q14,S14,U14,W14,Y14,AA14,AC14,AE14,AG14)</f>
        <v>0</v>
      </c>
      <c r="H14" s="58">
        <f t="shared" si="5"/>
        <v>0</v>
      </c>
      <c r="I14" s="58">
        <f t="shared" si="6"/>
        <v>0</v>
      </c>
      <c r="J14" s="63">
        <v>0</v>
      </c>
      <c r="K14" s="63">
        <v>0</v>
      </c>
      <c r="L14" s="63">
        <v>0</v>
      </c>
      <c r="M14" s="63">
        <v>0</v>
      </c>
      <c r="N14" s="63">
        <v>0</v>
      </c>
      <c r="O14" s="63">
        <v>0</v>
      </c>
      <c r="P14" s="63">
        <v>0</v>
      </c>
      <c r="Q14" s="63">
        <v>0</v>
      </c>
      <c r="R14" s="63">
        <v>0</v>
      </c>
      <c r="S14" s="63">
        <v>0</v>
      </c>
      <c r="T14" s="63">
        <v>0</v>
      </c>
      <c r="U14" s="63">
        <v>0</v>
      </c>
      <c r="V14" s="63">
        <v>0</v>
      </c>
      <c r="W14" s="63">
        <v>0</v>
      </c>
      <c r="X14" s="63">
        <v>0</v>
      </c>
      <c r="Y14" s="63">
        <v>0</v>
      </c>
      <c r="Z14" s="63">
        <v>0</v>
      </c>
      <c r="AA14" s="63">
        <v>0</v>
      </c>
      <c r="AB14" s="63">
        <v>0</v>
      </c>
      <c r="AC14" s="63">
        <v>0</v>
      </c>
      <c r="AD14" s="63">
        <v>0</v>
      </c>
      <c r="AE14" s="63">
        <v>0</v>
      </c>
      <c r="AF14" s="63">
        <v>0</v>
      </c>
      <c r="AG14" s="63">
        <v>0</v>
      </c>
      <c r="AH14" s="60"/>
      <c r="AI14" s="20"/>
    </row>
    <row r="15" spans="1:35" s="22" customFormat="1" ht="55.5" customHeight="1" x14ac:dyDescent="0.25">
      <c r="A15" s="374"/>
      <c r="B15" s="384" t="s">
        <v>196</v>
      </c>
      <c r="C15" s="57" t="s">
        <v>20</v>
      </c>
      <c r="D15" s="58">
        <f>D16</f>
        <v>0</v>
      </c>
      <c r="E15" s="58">
        <f>E16</f>
        <v>0</v>
      </c>
      <c r="F15" s="58">
        <f>F16</f>
        <v>0</v>
      </c>
      <c r="G15" s="58">
        <f>G16</f>
        <v>0</v>
      </c>
      <c r="H15" s="58">
        <f t="shared" si="5"/>
        <v>0</v>
      </c>
      <c r="I15" s="58">
        <f t="shared" si="6"/>
        <v>0</v>
      </c>
      <c r="J15" s="59">
        <f t="shared" ref="J15:AF15" si="9">J16</f>
        <v>0</v>
      </c>
      <c r="K15" s="59">
        <f t="shared" si="9"/>
        <v>0</v>
      </c>
      <c r="L15" s="59">
        <f t="shared" si="9"/>
        <v>0</v>
      </c>
      <c r="M15" s="59">
        <f t="shared" si="9"/>
        <v>0</v>
      </c>
      <c r="N15" s="59">
        <f t="shared" si="9"/>
        <v>0</v>
      </c>
      <c r="O15" s="59">
        <f t="shared" si="9"/>
        <v>0</v>
      </c>
      <c r="P15" s="59">
        <f t="shared" si="9"/>
        <v>0</v>
      </c>
      <c r="Q15" s="59">
        <f t="shared" si="9"/>
        <v>0</v>
      </c>
      <c r="R15" s="59">
        <f t="shared" si="9"/>
        <v>0</v>
      </c>
      <c r="S15" s="59">
        <f t="shared" si="9"/>
        <v>0</v>
      </c>
      <c r="T15" s="59">
        <f t="shared" si="9"/>
        <v>0</v>
      </c>
      <c r="U15" s="59">
        <f t="shared" si="9"/>
        <v>0</v>
      </c>
      <c r="V15" s="59">
        <f t="shared" si="9"/>
        <v>0</v>
      </c>
      <c r="W15" s="59">
        <f t="shared" si="9"/>
        <v>0</v>
      </c>
      <c r="X15" s="59">
        <f t="shared" si="9"/>
        <v>0</v>
      </c>
      <c r="Y15" s="59">
        <f t="shared" si="9"/>
        <v>0</v>
      </c>
      <c r="Z15" s="59">
        <f t="shared" si="9"/>
        <v>0</v>
      </c>
      <c r="AA15" s="59">
        <f t="shared" si="9"/>
        <v>0</v>
      </c>
      <c r="AB15" s="59">
        <f t="shared" si="9"/>
        <v>0</v>
      </c>
      <c r="AC15" s="59">
        <f t="shared" si="9"/>
        <v>0</v>
      </c>
      <c r="AD15" s="59">
        <f t="shared" si="9"/>
        <v>0</v>
      </c>
      <c r="AE15" s="59">
        <f t="shared" si="9"/>
        <v>0</v>
      </c>
      <c r="AF15" s="59">
        <f t="shared" si="9"/>
        <v>0</v>
      </c>
      <c r="AG15" s="59">
        <f>AG16</f>
        <v>0</v>
      </c>
      <c r="AH15" s="60"/>
      <c r="AI15" s="20"/>
    </row>
    <row r="16" spans="1:35" s="22" customFormat="1" ht="198.75" customHeight="1" x14ac:dyDescent="0.25">
      <c r="A16" s="375"/>
      <c r="B16" s="385"/>
      <c r="C16" s="61" t="s">
        <v>21</v>
      </c>
      <c r="D16" s="62">
        <f>SUM(J16,L16,N16,P16,R16,T16,V16,X16,Z16,AB16,AD16,AF16)</f>
        <v>0</v>
      </c>
      <c r="E16" s="62">
        <f>J16</f>
        <v>0</v>
      </c>
      <c r="F16" s="62">
        <f>G16</f>
        <v>0</v>
      </c>
      <c r="G16" s="62">
        <f>SUM(K16,M16,O16,Q16,S16,U16,W16,Y16,AA16,AC16,AE16,AG16)</f>
        <v>0</v>
      </c>
      <c r="H16" s="58">
        <f t="shared" si="5"/>
        <v>0</v>
      </c>
      <c r="I16" s="58">
        <f t="shared" si="6"/>
        <v>0</v>
      </c>
      <c r="J16" s="63">
        <v>0</v>
      </c>
      <c r="K16" s="63">
        <v>0</v>
      </c>
      <c r="L16" s="63">
        <v>0</v>
      </c>
      <c r="M16" s="63">
        <v>0</v>
      </c>
      <c r="N16" s="63">
        <v>0</v>
      </c>
      <c r="O16" s="63">
        <v>0</v>
      </c>
      <c r="P16" s="63">
        <v>0</v>
      </c>
      <c r="Q16" s="63">
        <v>0</v>
      </c>
      <c r="R16" s="63">
        <v>0</v>
      </c>
      <c r="S16" s="63">
        <v>0</v>
      </c>
      <c r="T16" s="63">
        <v>0</v>
      </c>
      <c r="U16" s="63">
        <v>0</v>
      </c>
      <c r="V16" s="63">
        <v>0</v>
      </c>
      <c r="W16" s="63">
        <v>0</v>
      </c>
      <c r="X16" s="63">
        <v>0</v>
      </c>
      <c r="Y16" s="63">
        <v>0</v>
      </c>
      <c r="Z16" s="63">
        <v>0</v>
      </c>
      <c r="AA16" s="63">
        <v>0</v>
      </c>
      <c r="AB16" s="63">
        <v>0</v>
      </c>
      <c r="AC16" s="63">
        <v>0</v>
      </c>
      <c r="AD16" s="63">
        <v>0</v>
      </c>
      <c r="AE16" s="63">
        <v>0</v>
      </c>
      <c r="AF16" s="63">
        <v>0</v>
      </c>
      <c r="AG16" s="63">
        <v>0</v>
      </c>
      <c r="AH16" s="60"/>
      <c r="AI16" s="20"/>
    </row>
    <row r="17" spans="1:35" s="22" customFormat="1" ht="38.25" customHeight="1" x14ac:dyDescent="0.25">
      <c r="A17" s="373"/>
      <c r="B17" s="384" t="s">
        <v>197</v>
      </c>
      <c r="C17" s="57" t="s">
        <v>20</v>
      </c>
      <c r="D17" s="58">
        <f>D18</f>
        <v>309.8</v>
      </c>
      <c r="E17" s="58">
        <f>E18</f>
        <v>0</v>
      </c>
      <c r="F17" s="58">
        <f>F18</f>
        <v>0</v>
      </c>
      <c r="G17" s="58">
        <f>G18</f>
        <v>0</v>
      </c>
      <c r="H17" s="58">
        <f t="shared" si="5"/>
        <v>0</v>
      </c>
      <c r="I17" s="58">
        <f t="shared" si="6"/>
        <v>0</v>
      </c>
      <c r="J17" s="59">
        <f t="shared" ref="J17:AF17" si="10">J18</f>
        <v>0</v>
      </c>
      <c r="K17" s="59">
        <f t="shared" si="10"/>
        <v>0</v>
      </c>
      <c r="L17" s="59">
        <f t="shared" si="10"/>
        <v>0</v>
      </c>
      <c r="M17" s="59">
        <f t="shared" si="10"/>
        <v>0</v>
      </c>
      <c r="N17" s="59">
        <f t="shared" si="10"/>
        <v>0</v>
      </c>
      <c r="O17" s="59">
        <f t="shared" si="10"/>
        <v>0</v>
      </c>
      <c r="P17" s="59">
        <f t="shared" si="10"/>
        <v>0</v>
      </c>
      <c r="Q17" s="59">
        <f t="shared" si="10"/>
        <v>0</v>
      </c>
      <c r="R17" s="59">
        <f t="shared" si="10"/>
        <v>0</v>
      </c>
      <c r="S17" s="59">
        <f t="shared" si="10"/>
        <v>0</v>
      </c>
      <c r="T17" s="59">
        <f t="shared" si="10"/>
        <v>0</v>
      </c>
      <c r="U17" s="59">
        <f t="shared" si="10"/>
        <v>0</v>
      </c>
      <c r="V17" s="59">
        <f t="shared" si="10"/>
        <v>0</v>
      </c>
      <c r="W17" s="59">
        <f t="shared" si="10"/>
        <v>0</v>
      </c>
      <c r="X17" s="59">
        <f t="shared" si="10"/>
        <v>0</v>
      </c>
      <c r="Y17" s="59">
        <f t="shared" si="10"/>
        <v>0</v>
      </c>
      <c r="Z17" s="59">
        <f t="shared" si="10"/>
        <v>0</v>
      </c>
      <c r="AA17" s="59">
        <f t="shared" si="10"/>
        <v>0</v>
      </c>
      <c r="AB17" s="59">
        <f t="shared" si="10"/>
        <v>0</v>
      </c>
      <c r="AC17" s="59">
        <f t="shared" si="10"/>
        <v>0</v>
      </c>
      <c r="AD17" s="59">
        <f t="shared" si="10"/>
        <v>309.8</v>
      </c>
      <c r="AE17" s="59">
        <f t="shared" si="10"/>
        <v>0</v>
      </c>
      <c r="AF17" s="59">
        <f t="shared" si="10"/>
        <v>0</v>
      </c>
      <c r="AG17" s="59">
        <f>AG18</f>
        <v>0</v>
      </c>
      <c r="AH17" s="60"/>
      <c r="AI17" s="20"/>
    </row>
    <row r="18" spans="1:35" s="22" customFormat="1" ht="66.75" customHeight="1" x14ac:dyDescent="0.25">
      <c r="A18" s="375"/>
      <c r="B18" s="385"/>
      <c r="C18" s="61" t="s">
        <v>21</v>
      </c>
      <c r="D18" s="62">
        <f>SUM(J18,L18,N18,P18,R18,T18,V18,X18,Z18,AB18,AD18,AF18)</f>
        <v>309.8</v>
      </c>
      <c r="E18" s="62">
        <f>J18</f>
        <v>0</v>
      </c>
      <c r="F18" s="62">
        <f>G18</f>
        <v>0</v>
      </c>
      <c r="G18" s="62">
        <f>SUM(K18,M18,O18,Q18,S18,U18,W18,Y18,AA18,AC18,AE18,AG18)</f>
        <v>0</v>
      </c>
      <c r="H18" s="58">
        <f t="shared" si="5"/>
        <v>0</v>
      </c>
      <c r="I18" s="58">
        <f t="shared" si="6"/>
        <v>0</v>
      </c>
      <c r="J18" s="63">
        <v>0</v>
      </c>
      <c r="K18" s="63">
        <v>0</v>
      </c>
      <c r="L18" s="63">
        <v>0</v>
      </c>
      <c r="M18" s="63">
        <v>0</v>
      </c>
      <c r="N18" s="63">
        <v>0</v>
      </c>
      <c r="O18" s="63">
        <v>0</v>
      </c>
      <c r="P18" s="63">
        <v>0</v>
      </c>
      <c r="Q18" s="63">
        <v>0</v>
      </c>
      <c r="R18" s="63">
        <v>0</v>
      </c>
      <c r="S18" s="63">
        <v>0</v>
      </c>
      <c r="T18" s="63">
        <v>0</v>
      </c>
      <c r="U18" s="63">
        <v>0</v>
      </c>
      <c r="V18" s="63">
        <v>0</v>
      </c>
      <c r="W18" s="63">
        <v>0</v>
      </c>
      <c r="X18" s="63">
        <v>0</v>
      </c>
      <c r="Y18" s="63">
        <v>0</v>
      </c>
      <c r="Z18" s="63">
        <v>0</v>
      </c>
      <c r="AA18" s="63">
        <v>0</v>
      </c>
      <c r="AB18" s="63">
        <v>0</v>
      </c>
      <c r="AC18" s="63">
        <v>0</v>
      </c>
      <c r="AD18" s="63">
        <v>309.8</v>
      </c>
      <c r="AE18" s="63">
        <v>0</v>
      </c>
      <c r="AF18" s="63">
        <v>0</v>
      </c>
      <c r="AG18" s="63">
        <v>0</v>
      </c>
      <c r="AH18" s="60"/>
      <c r="AI18" s="20"/>
    </row>
    <row r="19" spans="1:35" s="22" customFormat="1" ht="25.5" customHeight="1" x14ac:dyDescent="0.25">
      <c r="A19" s="118" t="s">
        <v>154</v>
      </c>
      <c r="B19" s="370" t="s">
        <v>198</v>
      </c>
      <c r="C19" s="371"/>
      <c r="D19" s="371"/>
      <c r="E19" s="371"/>
      <c r="F19" s="371"/>
      <c r="G19" s="371"/>
      <c r="H19" s="371"/>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2"/>
      <c r="AH19" s="60"/>
      <c r="AI19" s="20"/>
    </row>
    <row r="20" spans="1:35" s="22" customFormat="1" ht="44.25" customHeight="1" x14ac:dyDescent="0.25">
      <c r="A20" s="379" t="s">
        <v>155</v>
      </c>
      <c r="B20" s="361" t="s">
        <v>199</v>
      </c>
      <c r="C20" s="57" t="s">
        <v>20</v>
      </c>
      <c r="D20" s="59">
        <f t="shared" ref="D20:AF20" si="11">D21</f>
        <v>204.39999999999998</v>
      </c>
      <c r="E20" s="59">
        <f t="shared" si="11"/>
        <v>0</v>
      </c>
      <c r="F20" s="59">
        <f t="shared" si="11"/>
        <v>107.4</v>
      </c>
      <c r="G20" s="59">
        <f t="shared" si="11"/>
        <v>107.4</v>
      </c>
      <c r="H20" s="59">
        <f t="shared" ref="H20:H27" si="12">IFERROR(G20/D20*100,0)</f>
        <v>52.544031311154605</v>
      </c>
      <c r="I20" s="59">
        <f t="shared" ref="I20:I27" si="13">IFERROR(G20/E20*100,0)</f>
        <v>0</v>
      </c>
      <c r="J20" s="59">
        <f t="shared" si="11"/>
        <v>0</v>
      </c>
      <c r="K20" s="59">
        <f t="shared" si="11"/>
        <v>0</v>
      </c>
      <c r="L20" s="59">
        <f t="shared" si="11"/>
        <v>0</v>
      </c>
      <c r="M20" s="59">
        <f t="shared" si="11"/>
        <v>0</v>
      </c>
      <c r="N20" s="59">
        <f t="shared" si="11"/>
        <v>148.69999999999999</v>
      </c>
      <c r="O20" s="59">
        <f t="shared" si="11"/>
        <v>107.4</v>
      </c>
      <c r="P20" s="59">
        <f t="shared" si="11"/>
        <v>0</v>
      </c>
      <c r="Q20" s="59">
        <f t="shared" si="11"/>
        <v>0</v>
      </c>
      <c r="R20" s="59">
        <f t="shared" si="11"/>
        <v>0</v>
      </c>
      <c r="S20" s="59">
        <f t="shared" si="11"/>
        <v>0</v>
      </c>
      <c r="T20" s="59">
        <f t="shared" si="11"/>
        <v>0</v>
      </c>
      <c r="U20" s="59">
        <f t="shared" si="11"/>
        <v>0</v>
      </c>
      <c r="V20" s="59">
        <f t="shared" si="11"/>
        <v>0</v>
      </c>
      <c r="W20" s="59">
        <f t="shared" si="11"/>
        <v>0</v>
      </c>
      <c r="X20" s="59">
        <f t="shared" si="11"/>
        <v>6.7</v>
      </c>
      <c r="Y20" s="59">
        <f t="shared" si="11"/>
        <v>0</v>
      </c>
      <c r="Z20" s="59">
        <f t="shared" si="11"/>
        <v>9</v>
      </c>
      <c r="AA20" s="59">
        <f t="shared" si="11"/>
        <v>0</v>
      </c>
      <c r="AB20" s="59">
        <f t="shared" si="11"/>
        <v>40</v>
      </c>
      <c r="AC20" s="59">
        <f t="shared" si="11"/>
        <v>0</v>
      </c>
      <c r="AD20" s="59">
        <f t="shared" si="11"/>
        <v>0</v>
      </c>
      <c r="AE20" s="59">
        <f t="shared" si="11"/>
        <v>0</v>
      </c>
      <c r="AF20" s="59">
        <f t="shared" si="11"/>
        <v>0</v>
      </c>
      <c r="AG20" s="59">
        <f>AG21</f>
        <v>0</v>
      </c>
      <c r="AH20" s="60"/>
      <c r="AI20" s="20"/>
    </row>
    <row r="21" spans="1:35" s="22" customFormat="1" ht="129" customHeight="1" x14ac:dyDescent="0.25">
      <c r="A21" s="486"/>
      <c r="B21" s="363"/>
      <c r="C21" s="61" t="s">
        <v>21</v>
      </c>
      <c r="D21" s="62">
        <f>SUM(J21,L21,N21,P21,R21,T21,V21,X21,Z21,AB21,AD21,AF21)</f>
        <v>204.39999999999998</v>
      </c>
      <c r="E21" s="62">
        <f>J21</f>
        <v>0</v>
      </c>
      <c r="F21" s="62">
        <f>G21</f>
        <v>107.4</v>
      </c>
      <c r="G21" s="62">
        <f>SUM(K21,M21,O21,Q21,S21,U21,W21,Y21,AA21,AC21,AE21,AG21)</f>
        <v>107.4</v>
      </c>
      <c r="H21" s="59">
        <f t="shared" si="12"/>
        <v>52.544031311154605</v>
      </c>
      <c r="I21" s="59">
        <f t="shared" si="13"/>
        <v>0</v>
      </c>
      <c r="J21" s="63">
        <f t="shared" ref="J21:AF21" si="14">J23+J25+J27</f>
        <v>0</v>
      </c>
      <c r="K21" s="63">
        <f t="shared" si="14"/>
        <v>0</v>
      </c>
      <c r="L21" s="63">
        <f t="shared" si="14"/>
        <v>0</v>
      </c>
      <c r="M21" s="63">
        <f t="shared" si="14"/>
        <v>0</v>
      </c>
      <c r="N21" s="63">
        <f t="shared" si="14"/>
        <v>148.69999999999999</v>
      </c>
      <c r="O21" s="63">
        <f t="shared" si="14"/>
        <v>107.4</v>
      </c>
      <c r="P21" s="63">
        <f t="shared" si="14"/>
        <v>0</v>
      </c>
      <c r="Q21" s="63">
        <f t="shared" si="14"/>
        <v>0</v>
      </c>
      <c r="R21" s="63">
        <f t="shared" si="14"/>
        <v>0</v>
      </c>
      <c r="S21" s="63">
        <f t="shared" si="14"/>
        <v>0</v>
      </c>
      <c r="T21" s="63">
        <f t="shared" si="14"/>
        <v>0</v>
      </c>
      <c r="U21" s="63">
        <f t="shared" si="14"/>
        <v>0</v>
      </c>
      <c r="V21" s="63">
        <f t="shared" si="14"/>
        <v>0</v>
      </c>
      <c r="W21" s="63">
        <f t="shared" si="14"/>
        <v>0</v>
      </c>
      <c r="X21" s="63">
        <f t="shared" si="14"/>
        <v>6.7</v>
      </c>
      <c r="Y21" s="63">
        <f t="shared" si="14"/>
        <v>0</v>
      </c>
      <c r="Z21" s="63">
        <f t="shared" si="14"/>
        <v>9</v>
      </c>
      <c r="AA21" s="63">
        <f t="shared" si="14"/>
        <v>0</v>
      </c>
      <c r="AB21" s="63">
        <f t="shared" si="14"/>
        <v>40</v>
      </c>
      <c r="AC21" s="63">
        <f t="shared" si="14"/>
        <v>0</v>
      </c>
      <c r="AD21" s="63">
        <f t="shared" si="14"/>
        <v>0</v>
      </c>
      <c r="AE21" s="63">
        <f t="shared" si="14"/>
        <v>0</v>
      </c>
      <c r="AF21" s="63">
        <f t="shared" si="14"/>
        <v>0</v>
      </c>
      <c r="AG21" s="63">
        <f>AG23+AG25+AG27</f>
        <v>0</v>
      </c>
      <c r="AH21" s="60"/>
      <c r="AI21" s="20"/>
    </row>
    <row r="22" spans="1:35" s="22" customFormat="1" ht="33" customHeight="1" x14ac:dyDescent="0.25">
      <c r="A22" s="379"/>
      <c r="B22" s="384" t="s">
        <v>200</v>
      </c>
      <c r="C22" s="57" t="s">
        <v>20</v>
      </c>
      <c r="D22" s="59">
        <f t="shared" ref="D22:AF22" si="15">D23</f>
        <v>157.69999999999999</v>
      </c>
      <c r="E22" s="59">
        <f t="shared" si="15"/>
        <v>0</v>
      </c>
      <c r="F22" s="59">
        <f t="shared" si="15"/>
        <v>107.4</v>
      </c>
      <c r="G22" s="59">
        <f t="shared" si="15"/>
        <v>107.4</v>
      </c>
      <c r="H22" s="59">
        <f t="shared" si="12"/>
        <v>68.103994927076741</v>
      </c>
      <c r="I22" s="59">
        <f t="shared" si="13"/>
        <v>0</v>
      </c>
      <c r="J22" s="59">
        <f t="shared" si="15"/>
        <v>0</v>
      </c>
      <c r="K22" s="59">
        <f t="shared" si="15"/>
        <v>0</v>
      </c>
      <c r="L22" s="59">
        <f t="shared" si="15"/>
        <v>0</v>
      </c>
      <c r="M22" s="59">
        <f t="shared" si="15"/>
        <v>0</v>
      </c>
      <c r="N22" s="59">
        <f t="shared" si="15"/>
        <v>148.69999999999999</v>
      </c>
      <c r="O22" s="59">
        <f t="shared" si="15"/>
        <v>107.4</v>
      </c>
      <c r="P22" s="59">
        <f t="shared" si="15"/>
        <v>0</v>
      </c>
      <c r="Q22" s="59">
        <f t="shared" si="15"/>
        <v>0</v>
      </c>
      <c r="R22" s="59">
        <f t="shared" si="15"/>
        <v>0</v>
      </c>
      <c r="S22" s="59">
        <f t="shared" si="15"/>
        <v>0</v>
      </c>
      <c r="T22" s="59">
        <f t="shared" si="15"/>
        <v>0</v>
      </c>
      <c r="U22" s="59">
        <f t="shared" si="15"/>
        <v>0</v>
      </c>
      <c r="V22" s="59">
        <f t="shared" si="15"/>
        <v>0</v>
      </c>
      <c r="W22" s="59">
        <f t="shared" si="15"/>
        <v>0</v>
      </c>
      <c r="X22" s="59">
        <f t="shared" si="15"/>
        <v>0</v>
      </c>
      <c r="Y22" s="59">
        <f t="shared" si="15"/>
        <v>0</v>
      </c>
      <c r="Z22" s="59">
        <f t="shared" si="15"/>
        <v>9</v>
      </c>
      <c r="AA22" s="59">
        <f t="shared" si="15"/>
        <v>0</v>
      </c>
      <c r="AB22" s="59">
        <f t="shared" si="15"/>
        <v>0</v>
      </c>
      <c r="AC22" s="59">
        <f t="shared" si="15"/>
        <v>0</v>
      </c>
      <c r="AD22" s="59">
        <f t="shared" si="15"/>
        <v>0</v>
      </c>
      <c r="AE22" s="59">
        <f t="shared" si="15"/>
        <v>0</v>
      </c>
      <c r="AF22" s="59">
        <f t="shared" si="15"/>
        <v>0</v>
      </c>
      <c r="AG22" s="59">
        <f>AG23</f>
        <v>0</v>
      </c>
      <c r="AH22" s="60"/>
      <c r="AI22" s="20"/>
    </row>
    <row r="23" spans="1:35" s="22" customFormat="1" ht="46.5" customHeight="1" x14ac:dyDescent="0.25">
      <c r="A23" s="374"/>
      <c r="B23" s="385"/>
      <c r="C23" s="61" t="s">
        <v>21</v>
      </c>
      <c r="D23" s="62">
        <f>SUM(J23,L23,N23,P23,R23,T23,V23,X23,Z23,AB23,AD23,AF23)</f>
        <v>157.69999999999999</v>
      </c>
      <c r="E23" s="62">
        <f>J23</f>
        <v>0</v>
      </c>
      <c r="F23" s="62">
        <f>G23</f>
        <v>107.4</v>
      </c>
      <c r="G23" s="62">
        <f>SUM(K23,M23,O23,Q23,S23,U23,W23,Y23,AA23,AC23,AE23,AG23)</f>
        <v>107.4</v>
      </c>
      <c r="H23" s="59">
        <f t="shared" si="12"/>
        <v>68.103994927076741</v>
      </c>
      <c r="I23" s="59">
        <f t="shared" si="13"/>
        <v>0</v>
      </c>
      <c r="J23" s="63">
        <v>0</v>
      </c>
      <c r="K23" s="63">
        <v>0</v>
      </c>
      <c r="L23" s="63">
        <v>0</v>
      </c>
      <c r="M23" s="63">
        <v>0</v>
      </c>
      <c r="N23" s="63">
        <v>148.69999999999999</v>
      </c>
      <c r="O23" s="63">
        <v>107.4</v>
      </c>
      <c r="P23" s="63">
        <v>0</v>
      </c>
      <c r="Q23" s="63">
        <v>0</v>
      </c>
      <c r="R23" s="63">
        <v>0</v>
      </c>
      <c r="S23" s="63">
        <v>0</v>
      </c>
      <c r="T23" s="63">
        <v>0</v>
      </c>
      <c r="U23" s="63">
        <v>0</v>
      </c>
      <c r="V23" s="63">
        <v>0</v>
      </c>
      <c r="W23" s="63">
        <v>0</v>
      </c>
      <c r="X23" s="63">
        <v>0</v>
      </c>
      <c r="Y23" s="63">
        <v>0</v>
      </c>
      <c r="Z23" s="63">
        <v>9</v>
      </c>
      <c r="AA23" s="63">
        <v>0</v>
      </c>
      <c r="AB23" s="63">
        <v>0</v>
      </c>
      <c r="AC23" s="63">
        <v>0</v>
      </c>
      <c r="AD23" s="63">
        <v>0</v>
      </c>
      <c r="AE23" s="63">
        <v>0</v>
      </c>
      <c r="AF23" s="63">
        <v>0</v>
      </c>
      <c r="AG23" s="63">
        <v>0</v>
      </c>
      <c r="AH23" s="60"/>
      <c r="AI23" s="20"/>
    </row>
    <row r="24" spans="1:35" s="22" customFormat="1" ht="38.25" customHeight="1" x14ac:dyDescent="0.25">
      <c r="A24" s="373"/>
      <c r="B24" s="384" t="s">
        <v>201</v>
      </c>
      <c r="C24" s="57" t="s">
        <v>20</v>
      </c>
      <c r="D24" s="59">
        <f t="shared" ref="D24:AF24" si="16">D25</f>
        <v>40</v>
      </c>
      <c r="E24" s="59">
        <f t="shared" si="16"/>
        <v>0</v>
      </c>
      <c r="F24" s="59">
        <f t="shared" si="16"/>
        <v>0</v>
      </c>
      <c r="G24" s="59">
        <f t="shared" si="16"/>
        <v>0</v>
      </c>
      <c r="H24" s="59">
        <f t="shared" si="12"/>
        <v>0</v>
      </c>
      <c r="I24" s="59">
        <f t="shared" si="13"/>
        <v>0</v>
      </c>
      <c r="J24" s="59">
        <f t="shared" si="16"/>
        <v>0</v>
      </c>
      <c r="K24" s="59">
        <f t="shared" si="16"/>
        <v>0</v>
      </c>
      <c r="L24" s="59">
        <f t="shared" si="16"/>
        <v>0</v>
      </c>
      <c r="M24" s="59">
        <f t="shared" si="16"/>
        <v>0</v>
      </c>
      <c r="N24" s="59">
        <f t="shared" si="16"/>
        <v>0</v>
      </c>
      <c r="O24" s="59">
        <f t="shared" si="16"/>
        <v>0</v>
      </c>
      <c r="P24" s="59">
        <f t="shared" si="16"/>
        <v>0</v>
      </c>
      <c r="Q24" s="59">
        <f t="shared" si="16"/>
        <v>0</v>
      </c>
      <c r="R24" s="59">
        <f t="shared" si="16"/>
        <v>0</v>
      </c>
      <c r="S24" s="59">
        <f t="shared" si="16"/>
        <v>0</v>
      </c>
      <c r="T24" s="59">
        <f t="shared" si="16"/>
        <v>0</v>
      </c>
      <c r="U24" s="59">
        <f t="shared" si="16"/>
        <v>0</v>
      </c>
      <c r="V24" s="59">
        <f t="shared" si="16"/>
        <v>0</v>
      </c>
      <c r="W24" s="59">
        <f t="shared" si="16"/>
        <v>0</v>
      </c>
      <c r="X24" s="59">
        <f t="shared" si="16"/>
        <v>0</v>
      </c>
      <c r="Y24" s="59">
        <f t="shared" si="16"/>
        <v>0</v>
      </c>
      <c r="Z24" s="59">
        <f t="shared" si="16"/>
        <v>0</v>
      </c>
      <c r="AA24" s="59">
        <f t="shared" si="16"/>
        <v>0</v>
      </c>
      <c r="AB24" s="59">
        <f t="shared" si="16"/>
        <v>40</v>
      </c>
      <c r="AC24" s="59">
        <f t="shared" si="16"/>
        <v>0</v>
      </c>
      <c r="AD24" s="59">
        <f t="shared" si="16"/>
        <v>0</v>
      </c>
      <c r="AE24" s="59">
        <f t="shared" si="16"/>
        <v>0</v>
      </c>
      <c r="AF24" s="59">
        <f t="shared" si="16"/>
        <v>0</v>
      </c>
      <c r="AG24" s="59">
        <f>AG25</f>
        <v>0</v>
      </c>
      <c r="AH24" s="60"/>
      <c r="AI24" s="20"/>
    </row>
    <row r="25" spans="1:35" s="22" customFormat="1" ht="90.75" customHeight="1" x14ac:dyDescent="0.25">
      <c r="A25" s="375"/>
      <c r="B25" s="385"/>
      <c r="C25" s="61" t="s">
        <v>21</v>
      </c>
      <c r="D25" s="62">
        <f>SUM(J25,L25,N25,P25,R25,T25,V25,X25,Z25,AB25,AD25,AF25)</f>
        <v>40</v>
      </c>
      <c r="E25" s="62">
        <f>J25</f>
        <v>0</v>
      </c>
      <c r="F25" s="62">
        <f>G25</f>
        <v>0</v>
      </c>
      <c r="G25" s="62">
        <f>SUM(K25,M25,O25,Q25,S25,U25,W25,Y25,AA25,AC25,AE25,AG25)</f>
        <v>0</v>
      </c>
      <c r="H25" s="59">
        <f t="shared" si="12"/>
        <v>0</v>
      </c>
      <c r="I25" s="59">
        <f t="shared" si="13"/>
        <v>0</v>
      </c>
      <c r="J25" s="63">
        <v>0</v>
      </c>
      <c r="K25" s="63">
        <v>0</v>
      </c>
      <c r="L25" s="63">
        <v>0</v>
      </c>
      <c r="M25" s="63">
        <v>0</v>
      </c>
      <c r="N25" s="63">
        <v>0</v>
      </c>
      <c r="O25" s="63">
        <v>0</v>
      </c>
      <c r="P25" s="63">
        <v>0</v>
      </c>
      <c r="Q25" s="63">
        <v>0</v>
      </c>
      <c r="R25" s="63">
        <v>0</v>
      </c>
      <c r="S25" s="63">
        <v>0</v>
      </c>
      <c r="T25" s="63">
        <v>0</v>
      </c>
      <c r="U25" s="63">
        <v>0</v>
      </c>
      <c r="V25" s="63">
        <v>0</v>
      </c>
      <c r="W25" s="63">
        <v>0</v>
      </c>
      <c r="X25" s="63">
        <v>0</v>
      </c>
      <c r="Y25" s="63">
        <v>0</v>
      </c>
      <c r="Z25" s="63">
        <v>0</v>
      </c>
      <c r="AA25" s="63">
        <v>0</v>
      </c>
      <c r="AB25" s="63">
        <v>40</v>
      </c>
      <c r="AC25" s="63">
        <v>0</v>
      </c>
      <c r="AD25" s="63">
        <v>0</v>
      </c>
      <c r="AE25" s="63">
        <v>0</v>
      </c>
      <c r="AF25" s="63">
        <v>0</v>
      </c>
      <c r="AG25" s="63">
        <v>0</v>
      </c>
      <c r="AH25" s="60"/>
      <c r="AI25" s="20"/>
    </row>
    <row r="26" spans="1:35" s="22" customFormat="1" ht="30.75" customHeight="1" x14ac:dyDescent="0.25">
      <c r="A26" s="373"/>
      <c r="B26" s="384" t="s">
        <v>202</v>
      </c>
      <c r="C26" s="57" t="s">
        <v>20</v>
      </c>
      <c r="D26" s="59">
        <f t="shared" ref="D26:AF26" si="17">D27</f>
        <v>6.7</v>
      </c>
      <c r="E26" s="59">
        <f t="shared" si="17"/>
        <v>0</v>
      </c>
      <c r="F26" s="59">
        <f t="shared" si="17"/>
        <v>0</v>
      </c>
      <c r="G26" s="59">
        <f t="shared" si="17"/>
        <v>0</v>
      </c>
      <c r="H26" s="59">
        <f t="shared" si="12"/>
        <v>0</v>
      </c>
      <c r="I26" s="59">
        <f t="shared" si="13"/>
        <v>0</v>
      </c>
      <c r="J26" s="59">
        <f t="shared" si="17"/>
        <v>0</v>
      </c>
      <c r="K26" s="59">
        <f t="shared" si="17"/>
        <v>0</v>
      </c>
      <c r="L26" s="59">
        <f t="shared" si="17"/>
        <v>0</v>
      </c>
      <c r="M26" s="59">
        <f t="shared" si="17"/>
        <v>0</v>
      </c>
      <c r="N26" s="59">
        <f t="shared" si="17"/>
        <v>0</v>
      </c>
      <c r="O26" s="59">
        <f t="shared" si="17"/>
        <v>0</v>
      </c>
      <c r="P26" s="59">
        <f t="shared" si="17"/>
        <v>0</v>
      </c>
      <c r="Q26" s="59">
        <f t="shared" si="17"/>
        <v>0</v>
      </c>
      <c r="R26" s="59">
        <f t="shared" si="17"/>
        <v>0</v>
      </c>
      <c r="S26" s="59">
        <f t="shared" si="17"/>
        <v>0</v>
      </c>
      <c r="T26" s="59">
        <f t="shared" si="17"/>
        <v>0</v>
      </c>
      <c r="U26" s="59">
        <f t="shared" si="17"/>
        <v>0</v>
      </c>
      <c r="V26" s="59">
        <f t="shared" si="17"/>
        <v>0</v>
      </c>
      <c r="W26" s="59">
        <f t="shared" si="17"/>
        <v>0</v>
      </c>
      <c r="X26" s="59">
        <f t="shared" si="17"/>
        <v>6.7</v>
      </c>
      <c r="Y26" s="59">
        <f t="shared" si="17"/>
        <v>0</v>
      </c>
      <c r="Z26" s="59">
        <f t="shared" si="17"/>
        <v>0</v>
      </c>
      <c r="AA26" s="59">
        <f t="shared" si="17"/>
        <v>0</v>
      </c>
      <c r="AB26" s="59">
        <f t="shared" si="17"/>
        <v>0</v>
      </c>
      <c r="AC26" s="59">
        <f t="shared" si="17"/>
        <v>0</v>
      </c>
      <c r="AD26" s="59">
        <f t="shared" si="17"/>
        <v>0</v>
      </c>
      <c r="AE26" s="59">
        <f t="shared" si="17"/>
        <v>0</v>
      </c>
      <c r="AF26" s="59">
        <f t="shared" si="17"/>
        <v>0</v>
      </c>
      <c r="AG26" s="59">
        <f>AG27</f>
        <v>0</v>
      </c>
      <c r="AH26" s="60"/>
      <c r="AI26" s="20"/>
    </row>
    <row r="27" spans="1:35" s="22" customFormat="1" ht="58.5" customHeight="1" x14ac:dyDescent="0.25">
      <c r="A27" s="375"/>
      <c r="B27" s="385"/>
      <c r="C27" s="61" t="s">
        <v>21</v>
      </c>
      <c r="D27" s="62">
        <f>SUM(J27,L27,N27,P27,R27,T27,V27,X27,Z27,AB27,AD27,AF27)</f>
        <v>6.7</v>
      </c>
      <c r="E27" s="62">
        <f>J27</f>
        <v>0</v>
      </c>
      <c r="F27" s="62">
        <f>G27</f>
        <v>0</v>
      </c>
      <c r="G27" s="62">
        <f>SUM(K27,M27,O27,Q27,S27,U27,W27,Y27,AA27,AC27,AE27,AG27)</f>
        <v>0</v>
      </c>
      <c r="H27" s="59">
        <f t="shared" si="12"/>
        <v>0</v>
      </c>
      <c r="I27" s="59">
        <f t="shared" si="13"/>
        <v>0</v>
      </c>
      <c r="J27" s="63">
        <v>0</v>
      </c>
      <c r="K27" s="63">
        <v>0</v>
      </c>
      <c r="L27" s="63">
        <v>0</v>
      </c>
      <c r="M27" s="63">
        <v>0</v>
      </c>
      <c r="N27" s="63">
        <v>0</v>
      </c>
      <c r="O27" s="63">
        <v>0</v>
      </c>
      <c r="P27" s="63">
        <v>0</v>
      </c>
      <c r="Q27" s="63">
        <v>0</v>
      </c>
      <c r="R27" s="63">
        <v>0</v>
      </c>
      <c r="S27" s="63">
        <v>0</v>
      </c>
      <c r="T27" s="63">
        <v>0</v>
      </c>
      <c r="U27" s="63">
        <v>0</v>
      </c>
      <c r="V27" s="63">
        <v>0</v>
      </c>
      <c r="W27" s="63">
        <v>0</v>
      </c>
      <c r="X27" s="63">
        <v>6.7</v>
      </c>
      <c r="Y27" s="63">
        <v>0</v>
      </c>
      <c r="Z27" s="63">
        <v>0</v>
      </c>
      <c r="AA27" s="63">
        <v>0</v>
      </c>
      <c r="AB27" s="63">
        <v>0</v>
      </c>
      <c r="AC27" s="63">
        <v>0</v>
      </c>
      <c r="AD27" s="63">
        <v>0</v>
      </c>
      <c r="AE27" s="63">
        <v>0</v>
      </c>
      <c r="AF27" s="63">
        <v>0</v>
      </c>
      <c r="AG27" s="63">
        <v>0</v>
      </c>
      <c r="AH27" s="60"/>
      <c r="AI27" s="20"/>
    </row>
    <row r="28" spans="1:35" s="22" customFormat="1" ht="25.5" customHeight="1" x14ac:dyDescent="0.25">
      <c r="A28" s="118" t="s">
        <v>157</v>
      </c>
      <c r="B28" s="370" t="s">
        <v>203</v>
      </c>
      <c r="C28" s="371"/>
      <c r="D28" s="371"/>
      <c r="E28" s="371"/>
      <c r="F28" s="371"/>
      <c r="G28" s="371"/>
      <c r="H28" s="371"/>
      <c r="I28" s="371"/>
      <c r="J28" s="371"/>
      <c r="K28" s="371"/>
      <c r="L28" s="371"/>
      <c r="M28" s="371"/>
      <c r="N28" s="371"/>
      <c r="O28" s="371"/>
      <c r="P28" s="371"/>
      <c r="Q28" s="371"/>
      <c r="R28" s="371"/>
      <c r="S28" s="371"/>
      <c r="T28" s="371"/>
      <c r="U28" s="371"/>
      <c r="V28" s="371"/>
      <c r="W28" s="371"/>
      <c r="X28" s="371"/>
      <c r="Y28" s="371"/>
      <c r="Z28" s="371"/>
      <c r="AA28" s="371"/>
      <c r="AB28" s="371"/>
      <c r="AC28" s="371"/>
      <c r="AD28" s="371"/>
      <c r="AE28" s="371"/>
      <c r="AF28" s="371"/>
      <c r="AG28" s="372"/>
      <c r="AH28" s="60"/>
      <c r="AI28" s="20"/>
    </row>
    <row r="29" spans="1:35" s="30" customFormat="1" ht="50.25" customHeight="1" x14ac:dyDescent="0.25">
      <c r="A29" s="402" t="s">
        <v>63</v>
      </c>
      <c r="B29" s="367" t="s">
        <v>204</v>
      </c>
      <c r="C29" s="69" t="s">
        <v>20</v>
      </c>
      <c r="D29" s="70">
        <f>D30</f>
        <v>944.5</v>
      </c>
      <c r="E29" s="70">
        <f t="shared" ref="E29:AG29" si="18">E30</f>
        <v>0</v>
      </c>
      <c r="F29" s="70">
        <f t="shared" si="18"/>
        <v>0</v>
      </c>
      <c r="G29" s="70">
        <f t="shared" si="18"/>
        <v>0</v>
      </c>
      <c r="H29" s="70">
        <f>IFERROR(G29/D29*100,0)</f>
        <v>0</v>
      </c>
      <c r="I29" s="70">
        <f>IFERROR(G29/E29*100,0)</f>
        <v>0</v>
      </c>
      <c r="J29" s="70">
        <f t="shared" si="18"/>
        <v>0</v>
      </c>
      <c r="K29" s="70">
        <f t="shared" si="18"/>
        <v>0</v>
      </c>
      <c r="L29" s="70">
        <f t="shared" si="18"/>
        <v>0</v>
      </c>
      <c r="M29" s="70">
        <f t="shared" si="18"/>
        <v>0</v>
      </c>
      <c r="N29" s="70">
        <f t="shared" si="18"/>
        <v>0</v>
      </c>
      <c r="O29" s="70">
        <f t="shared" si="18"/>
        <v>0</v>
      </c>
      <c r="P29" s="70">
        <f t="shared" si="18"/>
        <v>0</v>
      </c>
      <c r="Q29" s="70">
        <f t="shared" si="18"/>
        <v>0</v>
      </c>
      <c r="R29" s="70">
        <f t="shared" si="18"/>
        <v>0</v>
      </c>
      <c r="S29" s="70">
        <f t="shared" si="18"/>
        <v>0</v>
      </c>
      <c r="T29" s="70">
        <f t="shared" si="18"/>
        <v>0</v>
      </c>
      <c r="U29" s="70">
        <f t="shared" si="18"/>
        <v>0</v>
      </c>
      <c r="V29" s="70">
        <f t="shared" si="18"/>
        <v>944.5</v>
      </c>
      <c r="W29" s="70">
        <f t="shared" si="18"/>
        <v>0</v>
      </c>
      <c r="X29" s="70">
        <f t="shared" si="18"/>
        <v>0</v>
      </c>
      <c r="Y29" s="70">
        <f t="shared" si="18"/>
        <v>0</v>
      </c>
      <c r="Z29" s="70">
        <f t="shared" si="18"/>
        <v>0</v>
      </c>
      <c r="AA29" s="70">
        <f t="shared" si="18"/>
        <v>0</v>
      </c>
      <c r="AB29" s="70">
        <f t="shared" si="18"/>
        <v>0</v>
      </c>
      <c r="AC29" s="70">
        <f t="shared" si="18"/>
        <v>0</v>
      </c>
      <c r="AD29" s="70">
        <f t="shared" si="18"/>
        <v>0</v>
      </c>
      <c r="AE29" s="70">
        <f t="shared" si="18"/>
        <v>0</v>
      </c>
      <c r="AF29" s="70">
        <f t="shared" si="18"/>
        <v>0</v>
      </c>
      <c r="AG29" s="70">
        <f t="shared" si="18"/>
        <v>0</v>
      </c>
      <c r="AH29" s="72"/>
      <c r="AI29" s="29"/>
    </row>
    <row r="30" spans="1:35" s="31" customFormat="1" ht="110.25" customHeight="1" x14ac:dyDescent="0.25">
      <c r="A30" s="403"/>
      <c r="B30" s="369"/>
      <c r="C30" s="73" t="s">
        <v>21</v>
      </c>
      <c r="D30" s="74">
        <f>SUM(J30,L30,N30,P30,R30,T30,V30,X30,Z30,AB30,AD30,AF30)</f>
        <v>944.5</v>
      </c>
      <c r="E30" s="74">
        <f>J30</f>
        <v>0</v>
      </c>
      <c r="F30" s="74">
        <f>G30</f>
        <v>0</v>
      </c>
      <c r="G30" s="74">
        <f>SUM(K30,M30,O30,Q30,S30,U30,W30,Y30,AA30,AC30,AE30,AG30)</f>
        <v>0</v>
      </c>
      <c r="H30" s="74">
        <f>IFERROR(G30/D30*100,0)</f>
        <v>0</v>
      </c>
      <c r="I30" s="74">
        <f>IFERROR(G30/E30*100,0)</f>
        <v>0</v>
      </c>
      <c r="J30" s="67">
        <f t="shared" ref="J30:AF30" si="19">J32</f>
        <v>0</v>
      </c>
      <c r="K30" s="67">
        <f t="shared" si="19"/>
        <v>0</v>
      </c>
      <c r="L30" s="67">
        <f t="shared" si="19"/>
        <v>0</v>
      </c>
      <c r="M30" s="67">
        <f t="shared" si="19"/>
        <v>0</v>
      </c>
      <c r="N30" s="67">
        <f t="shared" si="19"/>
        <v>0</v>
      </c>
      <c r="O30" s="67">
        <f t="shared" si="19"/>
        <v>0</v>
      </c>
      <c r="P30" s="67">
        <f t="shared" si="19"/>
        <v>0</v>
      </c>
      <c r="Q30" s="67">
        <f t="shared" si="19"/>
        <v>0</v>
      </c>
      <c r="R30" s="67">
        <f t="shared" si="19"/>
        <v>0</v>
      </c>
      <c r="S30" s="67">
        <f t="shared" si="19"/>
        <v>0</v>
      </c>
      <c r="T30" s="67">
        <f t="shared" si="19"/>
        <v>0</v>
      </c>
      <c r="U30" s="67">
        <f t="shared" si="19"/>
        <v>0</v>
      </c>
      <c r="V30" s="67">
        <f t="shared" si="19"/>
        <v>944.5</v>
      </c>
      <c r="W30" s="67">
        <f t="shared" si="19"/>
        <v>0</v>
      </c>
      <c r="X30" s="67">
        <f t="shared" si="19"/>
        <v>0</v>
      </c>
      <c r="Y30" s="67">
        <f t="shared" si="19"/>
        <v>0</v>
      </c>
      <c r="Z30" s="67">
        <f t="shared" si="19"/>
        <v>0</v>
      </c>
      <c r="AA30" s="67">
        <f t="shared" si="19"/>
        <v>0</v>
      </c>
      <c r="AB30" s="67">
        <f t="shared" si="19"/>
        <v>0</v>
      </c>
      <c r="AC30" s="67">
        <f t="shared" si="19"/>
        <v>0</v>
      </c>
      <c r="AD30" s="67">
        <f t="shared" si="19"/>
        <v>0</v>
      </c>
      <c r="AE30" s="67">
        <f t="shared" si="19"/>
        <v>0</v>
      </c>
      <c r="AF30" s="67">
        <f t="shared" si="19"/>
        <v>0</v>
      </c>
      <c r="AG30" s="67">
        <f>AG32</f>
        <v>0</v>
      </c>
      <c r="AH30" s="75"/>
      <c r="AI30" s="29"/>
    </row>
    <row r="31" spans="1:35" s="10" customFormat="1" ht="25.5" customHeight="1" x14ac:dyDescent="0.25">
      <c r="A31" s="402"/>
      <c r="B31" s="384" t="s">
        <v>205</v>
      </c>
      <c r="C31" s="69" t="s">
        <v>20</v>
      </c>
      <c r="D31" s="71">
        <f t="shared" ref="D31:AF31" si="20">SUM(D32:D32)</f>
        <v>944.5</v>
      </c>
      <c r="E31" s="71">
        <f t="shared" si="20"/>
        <v>0</v>
      </c>
      <c r="F31" s="71">
        <f t="shared" si="20"/>
        <v>0</v>
      </c>
      <c r="G31" s="71">
        <f t="shared" si="20"/>
        <v>0</v>
      </c>
      <c r="H31" s="71">
        <f>IFERROR(G31/D31*100,0)</f>
        <v>0</v>
      </c>
      <c r="I31" s="71">
        <f>IFERROR(G31/E31*100,0)</f>
        <v>0</v>
      </c>
      <c r="J31" s="71">
        <f t="shared" si="20"/>
        <v>0</v>
      </c>
      <c r="K31" s="71">
        <f t="shared" si="20"/>
        <v>0</v>
      </c>
      <c r="L31" s="71">
        <f t="shared" si="20"/>
        <v>0</v>
      </c>
      <c r="M31" s="71">
        <f t="shared" si="20"/>
        <v>0</v>
      </c>
      <c r="N31" s="71">
        <f t="shared" si="20"/>
        <v>0</v>
      </c>
      <c r="O31" s="71">
        <f t="shared" si="20"/>
        <v>0</v>
      </c>
      <c r="P31" s="71">
        <f t="shared" si="20"/>
        <v>0</v>
      </c>
      <c r="Q31" s="71">
        <f t="shared" si="20"/>
        <v>0</v>
      </c>
      <c r="R31" s="71">
        <f t="shared" si="20"/>
        <v>0</v>
      </c>
      <c r="S31" s="71">
        <f t="shared" si="20"/>
        <v>0</v>
      </c>
      <c r="T31" s="71">
        <f t="shared" si="20"/>
        <v>0</v>
      </c>
      <c r="U31" s="71">
        <f t="shared" si="20"/>
        <v>0</v>
      </c>
      <c r="V31" s="71">
        <f t="shared" si="20"/>
        <v>944.5</v>
      </c>
      <c r="W31" s="71">
        <f t="shared" si="20"/>
        <v>0</v>
      </c>
      <c r="X31" s="71">
        <f t="shared" si="20"/>
        <v>0</v>
      </c>
      <c r="Y31" s="71">
        <f t="shared" si="20"/>
        <v>0</v>
      </c>
      <c r="Z31" s="71">
        <f t="shared" si="20"/>
        <v>0</v>
      </c>
      <c r="AA31" s="71">
        <f t="shared" si="20"/>
        <v>0</v>
      </c>
      <c r="AB31" s="71">
        <f t="shared" si="20"/>
        <v>0</v>
      </c>
      <c r="AC31" s="71">
        <f t="shared" si="20"/>
        <v>0</v>
      </c>
      <c r="AD31" s="71">
        <f t="shared" si="20"/>
        <v>0</v>
      </c>
      <c r="AE31" s="71">
        <f t="shared" si="20"/>
        <v>0</v>
      </c>
      <c r="AF31" s="71">
        <f t="shared" si="20"/>
        <v>0</v>
      </c>
      <c r="AG31" s="71">
        <f>SUM(AG32:AG32)</f>
        <v>0</v>
      </c>
      <c r="AH31" s="72"/>
    </row>
    <row r="32" spans="1:35" s="10" customFormat="1" ht="63.75" customHeight="1" x14ac:dyDescent="0.25">
      <c r="A32" s="403"/>
      <c r="B32" s="408"/>
      <c r="C32" s="73" t="s">
        <v>21</v>
      </c>
      <c r="D32" s="74">
        <f>SUM(J32,L32,N32,P32,R32,T32,V32,X32,Z32,AB32,AD32,AF32)</f>
        <v>944.5</v>
      </c>
      <c r="E32" s="74">
        <f>J32</f>
        <v>0</v>
      </c>
      <c r="F32" s="74">
        <f>G32</f>
        <v>0</v>
      </c>
      <c r="G32" s="74">
        <f>SUM(K32,M32,O32,Q32,S32,U32,W32,Y32,AA32,AC32,AE32,AG32)</f>
        <v>0</v>
      </c>
      <c r="H32" s="74">
        <f>IFERROR(G32/D32*100,0)</f>
        <v>0</v>
      </c>
      <c r="I32" s="74">
        <f>IFERROR(G32/E32*100,0)</f>
        <v>0</v>
      </c>
      <c r="J32" s="67">
        <v>0</v>
      </c>
      <c r="K32" s="67">
        <v>0</v>
      </c>
      <c r="L32" s="67">
        <v>0</v>
      </c>
      <c r="M32" s="67">
        <v>0</v>
      </c>
      <c r="N32" s="67">
        <v>0</v>
      </c>
      <c r="O32" s="67">
        <v>0</v>
      </c>
      <c r="P32" s="67">
        <v>0</v>
      </c>
      <c r="Q32" s="67">
        <v>0</v>
      </c>
      <c r="R32" s="67">
        <v>0</v>
      </c>
      <c r="S32" s="67">
        <v>0</v>
      </c>
      <c r="T32" s="67">
        <v>0</v>
      </c>
      <c r="U32" s="67">
        <v>0</v>
      </c>
      <c r="V32" s="67">
        <v>944.5</v>
      </c>
      <c r="W32" s="67">
        <v>0</v>
      </c>
      <c r="X32" s="67">
        <v>0</v>
      </c>
      <c r="Y32" s="67">
        <v>0</v>
      </c>
      <c r="Z32" s="67">
        <v>0</v>
      </c>
      <c r="AA32" s="67">
        <v>0</v>
      </c>
      <c r="AB32" s="67">
        <v>0</v>
      </c>
      <c r="AC32" s="67">
        <v>0</v>
      </c>
      <c r="AD32" s="67">
        <v>0</v>
      </c>
      <c r="AE32" s="67">
        <v>0</v>
      </c>
      <c r="AF32" s="67">
        <v>0</v>
      </c>
      <c r="AG32" s="67">
        <v>0</v>
      </c>
      <c r="AH32" s="75"/>
    </row>
  </sheetData>
  <customSheetViews>
    <customSheetView guid="{2940A182-D1A7-43C5-8D6E-965BED4371B0}" scale="70" state="hidden">
      <pane xSplit="6" ySplit="7" topLeftCell="G8" activePane="bottomRight" state="frozen"/>
      <selection pane="bottomRight" activeCell="H42" sqref="H42"/>
      <pageMargins left="0.7" right="0.7" top="0.75" bottom="0.75" header="0.3" footer="0.3"/>
      <pageSetup paperSize="9" orientation="portrait" r:id="rId1"/>
    </customSheetView>
    <customSheetView guid="{BBF6B43F-E0FC-43DF-B91C-674F6AB4B556}" scale="70">
      <pane xSplit="6" ySplit="7" topLeftCell="G8" activePane="bottomRight" state="frozen"/>
      <selection pane="bottomRight" activeCell="H42" sqref="H42"/>
      <pageMargins left="0.7" right="0.7" top="0.75" bottom="0.75" header="0.3" footer="0.3"/>
      <pageSetup paperSize="9" orientation="portrait" r:id="rId2"/>
    </customSheetView>
    <customSheetView guid="{30B635D9-57DB-47D5-8A0F-4B30DD769960}" scale="70">
      <pane xSplit="6" ySplit="7" topLeftCell="G8" activePane="bottomRight" state="frozen"/>
      <selection pane="bottomRight" activeCell="H42" sqref="H42"/>
      <pageMargins left="0.7" right="0.7" top="0.75" bottom="0.75" header="0.3" footer="0.3"/>
      <pageSetup paperSize="9" orientation="portrait" r:id="rId3"/>
    </customSheetView>
    <customSheetView guid="{DAEDC989-02E7-4319-8354-59410ACF3F1F}" scale="70">
      <pane xSplit="6" ySplit="7" topLeftCell="G8" activePane="bottomRight" state="frozen"/>
      <selection pane="bottomRight" activeCell="H42" sqref="H42"/>
      <pageMargins left="0.7" right="0.7" top="0.75" bottom="0.75" header="0.3" footer="0.3"/>
      <pageSetup paperSize="9" orientation="portrait" r:id="rId4"/>
    </customSheetView>
    <customSheetView guid="{21E1D423-7B38-4272-8354-09B4DB62C9EB}" scale="70">
      <pane xSplit="6" ySplit="7" topLeftCell="G8" activePane="bottomRight" state="frozen"/>
      <selection pane="bottomRight" activeCell="H42" sqref="H42"/>
      <pageMargins left="0.7" right="0.7" top="0.75" bottom="0.75" header="0.3" footer="0.3"/>
      <pageSetup paperSize="9" orientation="portrait" r:id="rId5"/>
    </customSheetView>
    <customSheetView guid="{EA46B61D-849C-4795-A4FF-F8F1740022EB}" scale="70">
      <pane xSplit="6" ySplit="7" topLeftCell="G8" activePane="bottomRight" state="frozen"/>
      <selection pane="bottomRight" activeCell="H42" sqref="H42"/>
      <pageMargins left="0.7" right="0.7" top="0.75" bottom="0.75" header="0.3" footer="0.3"/>
      <pageSetup paperSize="9" orientation="portrait" r:id="rId6"/>
    </customSheetView>
    <customSheetView guid="{A0E2FBF6-E560-4343-8BE6-217DC798135B}" scale="70">
      <pane xSplit="6" ySplit="7" topLeftCell="G8" activePane="bottomRight" state="frozen"/>
      <selection pane="bottomRight" activeCell="H42" sqref="H42"/>
      <pageMargins left="0.7" right="0.7" top="0.75" bottom="0.75" header="0.3" footer="0.3"/>
      <pageSetup paperSize="9" orientation="portrait" r:id="rId7"/>
    </customSheetView>
    <customSheetView guid="{20A05A62-CBE8-4538-BBC3-2AD9D3B8FAC0}" scale="70">
      <pane xSplit="6" ySplit="7" topLeftCell="G8" activePane="bottomRight" state="frozen"/>
      <selection pane="bottomRight" activeCell="H42" sqref="H42"/>
      <pageMargins left="0.7" right="0.7" top="0.75" bottom="0.75" header="0.3" footer="0.3"/>
      <pageSetup paperSize="9" orientation="portrait" r:id="rId8"/>
    </customSheetView>
    <customSheetView guid="{A4AF2100-C59D-4F60-9EAB-56D9103463F7}" scale="70">
      <pane xSplit="6" ySplit="7" topLeftCell="G8" activePane="bottomRight" state="frozen"/>
      <selection pane="bottomRight" activeCell="H42" sqref="H42"/>
      <pageMargins left="0.7" right="0.7" top="0.75" bottom="0.75" header="0.3" footer="0.3"/>
      <pageSetup paperSize="9" orientation="portrait" r:id="rId9"/>
    </customSheetView>
    <customSheetView guid="{AB9978E4-895D-4050-8F07-2484E22632D1}" scale="70">
      <pane xSplit="6" ySplit="7" topLeftCell="G8" activePane="bottomRight" state="frozen"/>
      <selection pane="bottomRight" activeCell="H42" sqref="H42"/>
      <pageMargins left="0.7" right="0.7" top="0.75" bottom="0.75" header="0.3" footer="0.3"/>
      <pageSetup paperSize="9" orientation="portrait" r:id="rId10"/>
    </customSheetView>
    <customSheetView guid="{519948E4-0B24-465F-9D9E-44BE50D1D647}" scale="70">
      <pane xSplit="6" ySplit="7" topLeftCell="G8" activePane="bottomRight" state="frozen"/>
      <selection pane="bottomRight" activeCell="H42" sqref="H42"/>
      <pageMargins left="0.7" right="0.7" top="0.75" bottom="0.75" header="0.3" footer="0.3"/>
      <pageSetup paperSize="9" orientation="portrait" r:id="rId11"/>
    </customSheetView>
    <customSheetView guid="{C7DC638A-7F60-46C9-A1FB-9ADEAE87F332}" scale="70">
      <pane xSplit="6" ySplit="7" topLeftCell="G8" activePane="bottomRight" state="frozen"/>
      <selection pane="bottomRight" activeCell="H42" sqref="H42"/>
      <pageMargins left="0.7" right="0.7" top="0.75" bottom="0.75" header="0.3" footer="0.3"/>
      <pageSetup paperSize="9" orientation="portrait" r:id="rId12"/>
    </customSheetView>
    <customSheetView guid="{2A5A11D4-90C6-4A3E-8165-7D7BD634B22F}" scale="70">
      <pane xSplit="6" ySplit="7" topLeftCell="G8" activePane="bottomRight" state="frozen"/>
      <selection pane="bottomRight" activeCell="H42" sqref="H42"/>
      <pageMargins left="0.7" right="0.7" top="0.75" bottom="0.75" header="0.3" footer="0.3"/>
      <pageSetup paperSize="9" orientation="portrait" r:id="rId13"/>
    </customSheetView>
    <customSheetView guid="{562453CE-35F5-40A3-AD14-6399D1197C99}" scale="70">
      <pane xSplit="6" ySplit="7" topLeftCell="G8" activePane="bottomRight" state="frozen"/>
      <selection pane="bottomRight" activeCell="H42" sqref="H42"/>
      <pageMargins left="0.7" right="0.7" top="0.75" bottom="0.75" header="0.3" footer="0.3"/>
      <pageSetup paperSize="9" orientation="portrait" r:id="rId14"/>
    </customSheetView>
    <customSheetView guid="{B6B60ED6-A6CC-4DA7-A8CA-5E6DB52D5A87}" scale="70">
      <pane xSplit="6" ySplit="7" topLeftCell="G8" activePane="bottomRight" state="frozen"/>
      <selection pane="bottomRight" activeCell="H42" sqref="H42"/>
      <pageMargins left="0.7" right="0.7" top="0.75" bottom="0.75" header="0.3" footer="0.3"/>
      <pageSetup paperSize="9" orientation="portrait" r:id="rId15"/>
    </customSheetView>
    <customSheetView guid="{133BB3F8-8DD4-4AEF-8CD6-A5FB14681329}" scale="70">
      <pane xSplit="6" ySplit="7" topLeftCell="G8" activePane="bottomRight" state="frozen"/>
      <selection pane="bottomRight" activeCell="H8" sqref="H8"/>
      <pageMargins left="0.7" right="0.7" top="0.75" bottom="0.75" header="0.3" footer="0.3"/>
      <pageSetup paperSize="9" orientation="portrait" r:id="rId16"/>
    </customSheetView>
    <customSheetView guid="{5DF2C78B-5EE4-439D-8D72-8D3A913B65F9}" scale="70">
      <pane xSplit="6" ySplit="7" topLeftCell="G8" activePane="bottomRight" state="frozen"/>
      <selection pane="bottomRight" activeCell="H42" sqref="H42"/>
      <pageMargins left="0.7" right="0.7" top="0.75" bottom="0.75" header="0.3" footer="0.3"/>
      <pageSetup paperSize="9" orientation="portrait" r:id="rId17"/>
    </customSheetView>
    <customSheetView guid="{60A1F930-4BEC-460A-8E14-01E47F6DD055}" scale="70">
      <pane xSplit="6" ySplit="7" topLeftCell="G8" activePane="bottomRight" state="frozen"/>
      <selection pane="bottomRight" activeCell="H42" sqref="H42"/>
      <pageMargins left="0.7" right="0.7" top="0.75" bottom="0.75" header="0.3" footer="0.3"/>
      <pageSetup paperSize="9" orientation="portrait" r:id="rId18"/>
    </customSheetView>
    <customSheetView guid="{7C5A2A36-3D69-43D9-9018-A52C27EC78F9}" scale="70">
      <pane xSplit="6" ySplit="7" topLeftCell="G8" activePane="bottomRight" state="frozen"/>
      <selection pane="bottomRight" activeCell="H42" sqref="H42"/>
      <pageMargins left="0.7" right="0.7" top="0.75" bottom="0.75" header="0.3" footer="0.3"/>
      <pageSetup paperSize="9" orientation="portrait" r:id="rId19"/>
    </customSheetView>
    <customSheetView guid="{C282AA4E-1BB5-4296-9AC6-844C0F88E5FC}" scale="70">
      <pane xSplit="6" ySplit="7" topLeftCell="G8" activePane="bottomRight" state="frozen"/>
      <selection pane="bottomRight" activeCell="H42" sqref="H42"/>
      <pageMargins left="0.7" right="0.7" top="0.75" bottom="0.75" header="0.3" footer="0.3"/>
      <pageSetup paperSize="9" orientation="portrait" r:id="rId20"/>
    </customSheetView>
    <customSheetView guid="{996EC2F0-F6EC-4E63-A83E-34865157BD8D}" scale="70">
      <pane xSplit="6" ySplit="7" topLeftCell="G8" activePane="bottomRight" state="frozen"/>
      <selection pane="bottomRight" activeCell="H42" sqref="H42"/>
      <pageMargins left="0.7" right="0.7" top="0.75" bottom="0.75" header="0.3" footer="0.3"/>
      <pageSetup paperSize="9" orientation="portrait" r:id="rId21"/>
    </customSheetView>
    <customSheetView guid="{AFADB96A-0516-43C1-9F1B-0604F3CAC04A}" scale="70">
      <pane xSplit="6" ySplit="7" topLeftCell="G8" activePane="bottomRight" state="frozen"/>
      <selection pane="bottomRight" activeCell="H42" sqref="H42"/>
      <pageMargins left="0.7" right="0.7" top="0.75" bottom="0.75" header="0.3" footer="0.3"/>
      <pageSetup paperSize="9" orientation="portrait" r:id="rId22"/>
    </customSheetView>
  </customSheetViews>
  <mergeCells count="48">
    <mergeCell ref="R4:S5"/>
    <mergeCell ref="T4:U5"/>
    <mergeCell ref="C2:S2"/>
    <mergeCell ref="C3:S3"/>
    <mergeCell ref="A4:A6"/>
    <mergeCell ref="B4:B6"/>
    <mergeCell ref="C4:C6"/>
    <mergeCell ref="D4:D5"/>
    <mergeCell ref="E4:E5"/>
    <mergeCell ref="F4:F5"/>
    <mergeCell ref="G4:G5"/>
    <mergeCell ref="H4:I5"/>
    <mergeCell ref="AH4:AH6"/>
    <mergeCell ref="A8:A9"/>
    <mergeCell ref="B8:B9"/>
    <mergeCell ref="B10:AG10"/>
    <mergeCell ref="A11:A12"/>
    <mergeCell ref="B11:B12"/>
    <mergeCell ref="V4:W5"/>
    <mergeCell ref="X4:Y5"/>
    <mergeCell ref="Z4:AA5"/>
    <mergeCell ref="AB4:AC5"/>
    <mergeCell ref="AD4:AE5"/>
    <mergeCell ref="AF4:AG5"/>
    <mergeCell ref="J4:K5"/>
    <mergeCell ref="L4:M5"/>
    <mergeCell ref="N4:O5"/>
    <mergeCell ref="P4:Q5"/>
    <mergeCell ref="A13:A14"/>
    <mergeCell ref="B13:B14"/>
    <mergeCell ref="A15:A16"/>
    <mergeCell ref="B15:B16"/>
    <mergeCell ref="A17:A18"/>
    <mergeCell ref="B17:B18"/>
    <mergeCell ref="A31:A32"/>
    <mergeCell ref="B31:B32"/>
    <mergeCell ref="B19:AG19"/>
    <mergeCell ref="A20:A21"/>
    <mergeCell ref="B20:B21"/>
    <mergeCell ref="A22:A23"/>
    <mergeCell ref="B22:B23"/>
    <mergeCell ref="A24:A25"/>
    <mergeCell ref="B24:B25"/>
    <mergeCell ref="A26:A27"/>
    <mergeCell ref="B26:B27"/>
    <mergeCell ref="B28:AG28"/>
    <mergeCell ref="A29:A30"/>
    <mergeCell ref="B29:B30"/>
  </mergeCells>
  <pageMargins left="0.7" right="0.7" top="0.75" bottom="0.75" header="0.3" footer="0.3"/>
  <pageSetup paperSize="9" orientation="portrait" r:id="rId2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25"/>
  <sheetViews>
    <sheetView zoomScale="70" zoomScaleNormal="70" workbookViewId="0">
      <pane xSplit="6" ySplit="7" topLeftCell="G8" activePane="bottomRight" state="frozen"/>
      <selection pane="topRight" activeCell="G1" sqref="G1"/>
      <selection pane="bottomLeft" activeCell="A8" sqref="A8"/>
      <selection pane="bottomRight" activeCell="C14" sqref="C14"/>
    </sheetView>
  </sheetViews>
  <sheetFormatPr defaultColWidth="9.140625" defaultRowHeight="15" x14ac:dyDescent="0.25"/>
  <cols>
    <col min="1" max="1" width="6.5703125" style="8" customWidth="1"/>
    <col min="2" max="2" width="46.28515625" style="8" customWidth="1"/>
    <col min="3" max="3" width="18.5703125" style="9" customWidth="1"/>
    <col min="4" max="4" width="18" style="8" customWidth="1"/>
    <col min="5" max="5" width="14.7109375" style="8" customWidth="1"/>
    <col min="6" max="6" width="17.140625" style="8" customWidth="1"/>
    <col min="7" max="7" width="17.85546875" style="8" customWidth="1"/>
    <col min="8" max="8" width="12.140625" style="8" customWidth="1"/>
    <col min="9" max="9" width="10.85546875" style="8" customWidth="1"/>
    <col min="10" max="10" width="14.28515625" style="8" customWidth="1"/>
    <col min="11" max="11" width="13.5703125" style="8" customWidth="1"/>
    <col min="12" max="12" width="13.85546875" style="8" customWidth="1"/>
    <col min="13" max="13" width="13" style="8" customWidth="1"/>
    <col min="14" max="14" width="13.42578125" style="8" customWidth="1"/>
    <col min="15" max="15" width="11.5703125" style="8" customWidth="1"/>
    <col min="16" max="16" width="13.4257812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3.5703125" style="8" customWidth="1"/>
    <col min="27" max="27" width="11.5703125" style="8" customWidth="1"/>
    <col min="28" max="28" width="13" style="8" customWidth="1"/>
    <col min="29" max="29" width="11.5703125" style="8" customWidth="1"/>
    <col min="30" max="30" width="13.42578125" style="8" customWidth="1"/>
    <col min="31" max="33" width="11.5703125" style="8" customWidth="1"/>
    <col min="34" max="34" width="38.5703125" style="8" customWidth="1"/>
    <col min="35" max="16384" width="9.140625" style="8"/>
  </cols>
  <sheetData>
    <row r="1" spans="1:35" ht="23.25" customHeight="1" x14ac:dyDescent="0.25">
      <c r="C1" s="1"/>
      <c r="D1" s="2"/>
      <c r="E1" s="2"/>
      <c r="F1" s="2"/>
      <c r="G1" s="2"/>
      <c r="H1" s="2"/>
      <c r="I1" s="2"/>
      <c r="J1" s="3"/>
      <c r="K1" s="3"/>
      <c r="L1" s="3"/>
      <c r="M1" s="3"/>
      <c r="N1" s="3"/>
      <c r="O1" s="3"/>
      <c r="P1" s="3"/>
      <c r="Q1" s="3"/>
      <c r="R1" s="3"/>
      <c r="S1" s="3"/>
      <c r="T1" s="3"/>
      <c r="U1" s="3"/>
      <c r="V1" s="5"/>
      <c r="W1" s="5"/>
      <c r="X1" s="5"/>
      <c r="Y1" s="5"/>
      <c r="Z1" s="5"/>
      <c r="AA1" s="5"/>
      <c r="AB1" s="5"/>
      <c r="AC1" s="5"/>
      <c r="AD1" s="6"/>
      <c r="AE1" s="6"/>
      <c r="AF1" s="6"/>
      <c r="AG1" s="3"/>
      <c r="AH1" s="7"/>
    </row>
    <row r="2" spans="1:35" ht="15.75" x14ac:dyDescent="0.25">
      <c r="A2" s="92"/>
      <c r="B2" s="92"/>
      <c r="C2" s="346" t="s">
        <v>24</v>
      </c>
      <c r="D2" s="346"/>
      <c r="E2" s="346"/>
      <c r="F2" s="346"/>
      <c r="G2" s="346"/>
      <c r="H2" s="346"/>
      <c r="I2" s="346"/>
      <c r="J2" s="346"/>
      <c r="K2" s="346"/>
      <c r="L2" s="346"/>
      <c r="M2" s="346"/>
      <c r="N2" s="346"/>
      <c r="O2" s="346"/>
      <c r="P2" s="346"/>
      <c r="Q2" s="346"/>
      <c r="R2" s="346"/>
      <c r="S2" s="346"/>
      <c r="T2" s="93"/>
      <c r="U2" s="93"/>
      <c r="V2" s="93"/>
      <c r="W2" s="93"/>
      <c r="X2" s="93"/>
      <c r="Y2" s="93"/>
      <c r="Z2" s="93"/>
      <c r="AA2" s="93"/>
      <c r="AB2" s="93"/>
      <c r="AC2" s="93"/>
      <c r="AD2" s="93"/>
      <c r="AE2" s="93"/>
      <c r="AF2" s="93"/>
      <c r="AG2" s="93"/>
      <c r="AH2" s="93"/>
    </row>
    <row r="3" spans="1:35" ht="36.75" customHeight="1" x14ac:dyDescent="0.25">
      <c r="A3" s="92"/>
      <c r="B3" s="92"/>
      <c r="C3" s="347" t="s">
        <v>159</v>
      </c>
      <c r="D3" s="347"/>
      <c r="E3" s="347"/>
      <c r="F3" s="347"/>
      <c r="G3" s="347"/>
      <c r="H3" s="347"/>
      <c r="I3" s="347"/>
      <c r="J3" s="347"/>
      <c r="K3" s="347"/>
      <c r="L3" s="347"/>
      <c r="M3" s="347"/>
      <c r="N3" s="347"/>
      <c r="O3" s="347"/>
      <c r="P3" s="347"/>
      <c r="Q3" s="347"/>
      <c r="R3" s="347"/>
      <c r="S3" s="347"/>
      <c r="T3" s="94"/>
      <c r="U3" s="94"/>
      <c r="V3" s="94"/>
      <c r="W3" s="94"/>
      <c r="X3" s="94"/>
      <c r="Y3" s="94"/>
      <c r="Z3" s="94"/>
      <c r="AA3" s="94"/>
      <c r="AB3" s="94"/>
      <c r="AC3" s="94"/>
      <c r="AD3" s="95"/>
      <c r="AE3" s="95"/>
      <c r="AF3" s="95"/>
      <c r="AG3" s="37" t="s">
        <v>0</v>
      </c>
      <c r="AH3" s="95"/>
    </row>
    <row r="4" spans="1:35" s="10" customFormat="1" ht="15" customHeight="1" x14ac:dyDescent="0.25">
      <c r="A4" s="348" t="s">
        <v>26</v>
      </c>
      <c r="B4" s="351" t="s">
        <v>29</v>
      </c>
      <c r="C4" s="351" t="s">
        <v>30</v>
      </c>
      <c r="D4" s="359"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10" customFormat="1" ht="39" customHeight="1" x14ac:dyDescent="0.25">
      <c r="A5" s="349"/>
      <c r="B5" s="352"/>
      <c r="C5" s="352"/>
      <c r="D5" s="360"/>
      <c r="E5" s="360"/>
      <c r="F5" s="360"/>
      <c r="G5" s="360"/>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5" s="10" customFormat="1" ht="64.5" customHeight="1" x14ac:dyDescent="0.25">
      <c r="A6" s="350"/>
      <c r="B6" s="353"/>
      <c r="C6" s="353"/>
      <c r="D6" s="38">
        <v>2025</v>
      </c>
      <c r="E6" s="39">
        <v>45689</v>
      </c>
      <c r="F6" s="39">
        <v>45689</v>
      </c>
      <c r="G6" s="39">
        <v>45689</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10" customFormat="1" ht="15.75" x14ac:dyDescent="0.25">
      <c r="A7" s="56">
        <v>1</v>
      </c>
      <c r="B7" s="56">
        <v>2</v>
      </c>
      <c r="C7" s="56">
        <v>3</v>
      </c>
      <c r="D7" s="56">
        <v>4</v>
      </c>
      <c r="E7" s="56">
        <v>5</v>
      </c>
      <c r="F7" s="56">
        <v>6</v>
      </c>
      <c r="G7" s="56">
        <v>7</v>
      </c>
      <c r="H7" s="56">
        <v>8</v>
      </c>
      <c r="I7" s="56">
        <v>9</v>
      </c>
      <c r="J7" s="56">
        <v>10</v>
      </c>
      <c r="K7" s="56">
        <v>11</v>
      </c>
      <c r="L7" s="56">
        <v>12</v>
      </c>
      <c r="M7" s="56">
        <v>13</v>
      </c>
      <c r="N7" s="56">
        <v>14</v>
      </c>
      <c r="O7" s="56">
        <v>15</v>
      </c>
      <c r="P7" s="56">
        <v>16</v>
      </c>
      <c r="Q7" s="56">
        <v>17</v>
      </c>
      <c r="R7" s="56">
        <v>18</v>
      </c>
      <c r="S7" s="56">
        <v>19</v>
      </c>
      <c r="T7" s="56">
        <v>20</v>
      </c>
      <c r="U7" s="56">
        <v>21</v>
      </c>
      <c r="V7" s="56">
        <v>22</v>
      </c>
      <c r="W7" s="56">
        <v>23</v>
      </c>
      <c r="X7" s="56">
        <v>24</v>
      </c>
      <c r="Y7" s="56">
        <v>25</v>
      </c>
      <c r="Z7" s="56">
        <v>26</v>
      </c>
      <c r="AA7" s="56">
        <v>27</v>
      </c>
      <c r="AB7" s="56">
        <v>28</v>
      </c>
      <c r="AC7" s="56">
        <v>29</v>
      </c>
      <c r="AD7" s="56">
        <v>30</v>
      </c>
      <c r="AE7" s="56">
        <v>31</v>
      </c>
      <c r="AF7" s="56">
        <v>32</v>
      </c>
      <c r="AG7" s="56">
        <v>33</v>
      </c>
      <c r="AH7" s="56">
        <v>34</v>
      </c>
    </row>
    <row r="8" spans="1:35" s="21" customFormat="1" ht="31.5" customHeight="1" x14ac:dyDescent="0.25">
      <c r="A8" s="413"/>
      <c r="B8" s="361" t="s">
        <v>23</v>
      </c>
      <c r="C8" s="57" t="s">
        <v>20</v>
      </c>
      <c r="D8" s="58">
        <f>D9+D10+D11</f>
        <v>169354.30112000002</v>
      </c>
      <c r="E8" s="58">
        <f>E9+E10+E11</f>
        <v>45709.315849999992</v>
      </c>
      <c r="F8" s="58">
        <f>F9+F10+F11</f>
        <v>37903.029340000001</v>
      </c>
      <c r="G8" s="58">
        <f>G9+G10+G11</f>
        <v>37903.029340000001</v>
      </c>
      <c r="H8" s="58">
        <f>IFERROR(G8/D8*100,0)</f>
        <v>22.380907416778808</v>
      </c>
      <c r="I8" s="58">
        <f>IFERROR(G8/E8*100,0)</f>
        <v>82.921891599477988</v>
      </c>
      <c r="J8" s="59">
        <f t="shared" ref="J8:AG8" si="0">J9+J10+J11</f>
        <v>20558.323539999998</v>
      </c>
      <c r="K8" s="59">
        <f t="shared" si="0"/>
        <v>11175.61418</v>
      </c>
      <c r="L8" s="59">
        <f t="shared" si="0"/>
        <v>14928.411610000001</v>
      </c>
      <c r="M8" s="59">
        <f t="shared" si="0"/>
        <v>14591.199419999999</v>
      </c>
      <c r="N8" s="59">
        <f t="shared" si="0"/>
        <v>10222.5807</v>
      </c>
      <c r="O8" s="59">
        <f t="shared" si="0"/>
        <v>12136.21574</v>
      </c>
      <c r="P8" s="59">
        <f t="shared" si="0"/>
        <v>19739.0432</v>
      </c>
      <c r="Q8" s="59">
        <f t="shared" si="0"/>
        <v>0</v>
      </c>
      <c r="R8" s="59">
        <f t="shared" si="0"/>
        <v>11505.526000000002</v>
      </c>
      <c r="S8" s="59">
        <f t="shared" si="0"/>
        <v>0</v>
      </c>
      <c r="T8" s="59">
        <f t="shared" si="0"/>
        <v>9827.7709999999988</v>
      </c>
      <c r="U8" s="59">
        <f t="shared" si="0"/>
        <v>0</v>
      </c>
      <c r="V8" s="59">
        <f t="shared" si="0"/>
        <v>20717.303609999999</v>
      </c>
      <c r="W8" s="59">
        <f t="shared" si="0"/>
        <v>0</v>
      </c>
      <c r="X8" s="59">
        <f t="shared" si="0"/>
        <v>11727.578</v>
      </c>
      <c r="Y8" s="59">
        <f t="shared" si="0"/>
        <v>0</v>
      </c>
      <c r="Z8" s="59">
        <f t="shared" si="0"/>
        <v>8859.5769999999993</v>
      </c>
      <c r="AA8" s="59">
        <f t="shared" si="0"/>
        <v>0</v>
      </c>
      <c r="AB8" s="59">
        <f t="shared" si="0"/>
        <v>13410.7464</v>
      </c>
      <c r="AC8" s="59">
        <f t="shared" si="0"/>
        <v>0</v>
      </c>
      <c r="AD8" s="59">
        <f t="shared" si="0"/>
        <v>9547.6506300000001</v>
      </c>
      <c r="AE8" s="59">
        <f t="shared" si="0"/>
        <v>0</v>
      </c>
      <c r="AF8" s="59">
        <f t="shared" si="0"/>
        <v>18309.789429999997</v>
      </c>
      <c r="AG8" s="59">
        <f t="shared" si="0"/>
        <v>0</v>
      </c>
      <c r="AH8" s="60"/>
    </row>
    <row r="9" spans="1:35" s="21" customFormat="1" ht="31.5" customHeight="1" x14ac:dyDescent="0.25">
      <c r="A9" s="414"/>
      <c r="B9" s="362"/>
      <c r="C9" s="61" t="s">
        <v>52</v>
      </c>
      <c r="D9" s="62">
        <f>SUM(J9,L9,N9,P9,R9,T9,V9,X9,Z9,AB9,AD9,AF9)</f>
        <v>6379.0000000000009</v>
      </c>
      <c r="E9" s="62">
        <f>J9+L9+N9</f>
        <v>1594.749</v>
      </c>
      <c r="F9" s="62">
        <f>G9</f>
        <v>1537.8413500000001</v>
      </c>
      <c r="G9" s="62">
        <f>SUM(K9,M9,O9,Q9,S9,U9,W9,Y9,AA9,AC9,AE9,AG9)</f>
        <v>1537.8413500000001</v>
      </c>
      <c r="H9" s="62">
        <f>IFERROR(G9/D9*100,0)</f>
        <v>24.107875058786643</v>
      </c>
      <c r="I9" s="62">
        <f>IFERROR(G9/E9*100,0)</f>
        <v>96.431560703283097</v>
      </c>
      <c r="J9" s="59">
        <f t="shared" ref="J9:AG9" si="1">J19</f>
        <v>533.65200000000004</v>
      </c>
      <c r="K9" s="59">
        <f t="shared" si="1"/>
        <v>407.34699999999998</v>
      </c>
      <c r="L9" s="59">
        <f t="shared" si="1"/>
        <v>734.69100000000003</v>
      </c>
      <c r="M9" s="59">
        <f t="shared" si="1"/>
        <v>781.77151000000003</v>
      </c>
      <c r="N9" s="59">
        <f t="shared" si="1"/>
        <v>326.40600000000001</v>
      </c>
      <c r="O9" s="59">
        <f t="shared" si="1"/>
        <v>348.72284000000002</v>
      </c>
      <c r="P9" s="59">
        <f t="shared" si="1"/>
        <v>457.40699999999998</v>
      </c>
      <c r="Q9" s="59">
        <f t="shared" si="1"/>
        <v>0</v>
      </c>
      <c r="R9" s="59">
        <f t="shared" si="1"/>
        <v>544.53800000000001</v>
      </c>
      <c r="S9" s="59">
        <f t="shared" si="1"/>
        <v>0</v>
      </c>
      <c r="T9" s="59">
        <f t="shared" si="1"/>
        <v>558.61</v>
      </c>
      <c r="U9" s="59">
        <f t="shared" si="1"/>
        <v>0</v>
      </c>
      <c r="V9" s="59">
        <f t="shared" si="1"/>
        <v>523.43399999999997</v>
      </c>
      <c r="W9" s="59">
        <f t="shared" si="1"/>
        <v>0</v>
      </c>
      <c r="X9" s="59">
        <f t="shared" si="1"/>
        <v>653.15700000000004</v>
      </c>
      <c r="Y9" s="59">
        <f t="shared" si="1"/>
        <v>0</v>
      </c>
      <c r="Z9" s="59">
        <f t="shared" si="1"/>
        <v>718.149</v>
      </c>
      <c r="AA9" s="59">
        <f t="shared" si="1"/>
        <v>0</v>
      </c>
      <c r="AB9" s="59">
        <f t="shared" si="1"/>
        <v>339.88</v>
      </c>
      <c r="AC9" s="59">
        <f t="shared" si="1"/>
        <v>0</v>
      </c>
      <c r="AD9" s="59">
        <f t="shared" si="1"/>
        <v>464.73599999999999</v>
      </c>
      <c r="AE9" s="59">
        <f t="shared" si="1"/>
        <v>0</v>
      </c>
      <c r="AF9" s="59">
        <f t="shared" si="1"/>
        <v>524.34</v>
      </c>
      <c r="AG9" s="59">
        <f t="shared" si="1"/>
        <v>0</v>
      </c>
      <c r="AH9" s="60"/>
    </row>
    <row r="10" spans="1:35" s="21" customFormat="1" ht="31.5" customHeight="1" x14ac:dyDescent="0.25">
      <c r="A10" s="414"/>
      <c r="B10" s="362"/>
      <c r="C10" s="61" t="s">
        <v>22</v>
      </c>
      <c r="D10" s="62">
        <f>SUM(J10,L10,N10,P10,R10,T10,V10,X10,Z10,AB10,AD10,AF10)</f>
        <v>2480.1014399999999</v>
      </c>
      <c r="E10" s="62">
        <f>J10+L10+N10</f>
        <v>447.48954000000003</v>
      </c>
      <c r="F10" s="62">
        <f>G10</f>
        <v>441.24984999999998</v>
      </c>
      <c r="G10" s="62">
        <f>SUM(K10,M10,O10,Q10,S10,U10,W10,Y10,AA10,AC10,AE10,AG10)</f>
        <v>441.24984999999998</v>
      </c>
      <c r="H10" s="62">
        <f>IFERROR(G10/D10*100,0)</f>
        <v>17.791604927256525</v>
      </c>
      <c r="I10" s="62">
        <f>IFERROR(G10/E10*100,0)</f>
        <v>98.605623273339518</v>
      </c>
      <c r="J10" s="59">
        <f t="shared" ref="J10:AG10" si="2">J20</f>
        <v>277.38954000000001</v>
      </c>
      <c r="K10" s="59">
        <f t="shared" si="2"/>
        <v>204.99442999999999</v>
      </c>
      <c r="L10" s="59">
        <f t="shared" si="2"/>
        <v>19</v>
      </c>
      <c r="M10" s="59">
        <f t="shared" si="2"/>
        <v>12.918229999999999</v>
      </c>
      <c r="N10" s="59">
        <f t="shared" si="2"/>
        <v>151.1</v>
      </c>
      <c r="O10" s="59">
        <f t="shared" si="2"/>
        <v>223.33718999999999</v>
      </c>
      <c r="P10" s="59">
        <f t="shared" si="2"/>
        <v>186.07415</v>
      </c>
      <c r="Q10" s="59">
        <f t="shared" si="2"/>
        <v>0</v>
      </c>
      <c r="R10" s="59">
        <f t="shared" si="2"/>
        <v>192.84</v>
      </c>
      <c r="S10" s="59">
        <f t="shared" si="2"/>
        <v>0</v>
      </c>
      <c r="T10" s="59">
        <f t="shared" si="2"/>
        <v>118.44</v>
      </c>
      <c r="U10" s="59">
        <f t="shared" si="2"/>
        <v>0</v>
      </c>
      <c r="V10" s="59">
        <f t="shared" si="2"/>
        <v>385.71015</v>
      </c>
      <c r="W10" s="59">
        <f t="shared" si="2"/>
        <v>0</v>
      </c>
      <c r="X10" s="59">
        <f t="shared" si="2"/>
        <v>225</v>
      </c>
      <c r="Y10" s="59">
        <f t="shared" si="2"/>
        <v>0</v>
      </c>
      <c r="Z10" s="59">
        <f t="shared" si="2"/>
        <v>30</v>
      </c>
      <c r="AA10" s="59">
        <f t="shared" si="2"/>
        <v>0</v>
      </c>
      <c r="AB10" s="59">
        <f t="shared" si="2"/>
        <v>535.75160000000005</v>
      </c>
      <c r="AC10" s="59">
        <f t="shared" si="2"/>
        <v>0</v>
      </c>
      <c r="AD10" s="59">
        <f t="shared" si="2"/>
        <v>50</v>
      </c>
      <c r="AE10" s="59">
        <f t="shared" si="2"/>
        <v>0</v>
      </c>
      <c r="AF10" s="59">
        <f t="shared" si="2"/>
        <v>308.79599999999999</v>
      </c>
      <c r="AG10" s="59">
        <f t="shared" si="2"/>
        <v>0</v>
      </c>
      <c r="AH10" s="60"/>
    </row>
    <row r="11" spans="1:35" s="22" customFormat="1" ht="38.25" customHeight="1" x14ac:dyDescent="0.25">
      <c r="A11" s="414"/>
      <c r="B11" s="362"/>
      <c r="C11" s="61" t="s">
        <v>21</v>
      </c>
      <c r="D11" s="62">
        <f>SUM(J11,L11,N11,P11,R11,T11,V11,X11,Z11,AB11,AD11,AF11)</f>
        <v>160495.19968000002</v>
      </c>
      <c r="E11" s="62">
        <f>J11+L11+N11</f>
        <v>43667.077309999993</v>
      </c>
      <c r="F11" s="62">
        <f>G11</f>
        <v>35923.938139999998</v>
      </c>
      <c r="G11" s="62">
        <f>SUM(K11,M11,O11,Q11,S11,U11,W11,Y11,AA11,AC11,AE11,AG11)</f>
        <v>35923.938139999998</v>
      </c>
      <c r="H11" s="62">
        <f>IFERROR(G11/D11*100,0)</f>
        <v>22.383185423381001</v>
      </c>
      <c r="I11" s="62">
        <f>IFERROR(G11/E11*100,0)</f>
        <v>82.267786975917502</v>
      </c>
      <c r="J11" s="62">
        <f t="shared" ref="J11:AG11" si="3">J14+J17+J21+J24</f>
        <v>19747.281999999999</v>
      </c>
      <c r="K11" s="62">
        <f t="shared" si="3"/>
        <v>10563.27275</v>
      </c>
      <c r="L11" s="62">
        <f t="shared" si="3"/>
        <v>14174.72061</v>
      </c>
      <c r="M11" s="62">
        <f t="shared" si="3"/>
        <v>13796.509679999999</v>
      </c>
      <c r="N11" s="62">
        <f t="shared" si="3"/>
        <v>9745.074700000001</v>
      </c>
      <c r="O11" s="62">
        <f t="shared" si="3"/>
        <v>11564.155709999999</v>
      </c>
      <c r="P11" s="62">
        <f t="shared" si="3"/>
        <v>19095.56205</v>
      </c>
      <c r="Q11" s="62">
        <f t="shared" si="3"/>
        <v>0</v>
      </c>
      <c r="R11" s="62">
        <f t="shared" si="3"/>
        <v>10768.148000000001</v>
      </c>
      <c r="S11" s="62">
        <f t="shared" si="3"/>
        <v>0</v>
      </c>
      <c r="T11" s="62">
        <f t="shared" si="3"/>
        <v>9150.7209999999995</v>
      </c>
      <c r="U11" s="62">
        <f t="shared" si="3"/>
        <v>0</v>
      </c>
      <c r="V11" s="62">
        <f t="shared" si="3"/>
        <v>19808.159459999999</v>
      </c>
      <c r="W11" s="62">
        <f t="shared" si="3"/>
        <v>0</v>
      </c>
      <c r="X11" s="62">
        <f t="shared" si="3"/>
        <v>10849.421</v>
      </c>
      <c r="Y11" s="62">
        <f t="shared" si="3"/>
        <v>0</v>
      </c>
      <c r="Z11" s="62">
        <f t="shared" si="3"/>
        <v>8111.4279999999999</v>
      </c>
      <c r="AA11" s="62">
        <f t="shared" si="3"/>
        <v>0</v>
      </c>
      <c r="AB11" s="62">
        <f t="shared" si="3"/>
        <v>12535.114799999999</v>
      </c>
      <c r="AC11" s="62">
        <f t="shared" si="3"/>
        <v>0</v>
      </c>
      <c r="AD11" s="62">
        <f t="shared" si="3"/>
        <v>9032.9146299999993</v>
      </c>
      <c r="AE11" s="62">
        <f t="shared" si="3"/>
        <v>0</v>
      </c>
      <c r="AF11" s="62">
        <f t="shared" si="3"/>
        <v>17476.653429999998</v>
      </c>
      <c r="AG11" s="62">
        <f t="shared" si="3"/>
        <v>0</v>
      </c>
      <c r="AH11" s="64"/>
    </row>
    <row r="12" spans="1:35" s="26" customFormat="1" ht="18.75" customHeight="1" x14ac:dyDescent="0.25">
      <c r="A12" s="132" t="s">
        <v>152</v>
      </c>
      <c r="B12" s="426" t="s">
        <v>160</v>
      </c>
      <c r="C12" s="427"/>
      <c r="D12" s="427"/>
      <c r="E12" s="427"/>
      <c r="F12" s="427"/>
      <c r="G12" s="427"/>
      <c r="H12" s="427"/>
      <c r="I12" s="427"/>
      <c r="J12" s="427"/>
      <c r="K12" s="427"/>
      <c r="L12" s="427"/>
      <c r="M12" s="427"/>
      <c r="N12" s="427"/>
      <c r="O12" s="427"/>
      <c r="P12" s="427"/>
      <c r="Q12" s="427"/>
      <c r="R12" s="427"/>
      <c r="S12" s="427"/>
      <c r="T12" s="427"/>
      <c r="U12" s="427"/>
      <c r="V12" s="427"/>
      <c r="W12" s="427"/>
      <c r="X12" s="427"/>
      <c r="Y12" s="427"/>
      <c r="Z12" s="427"/>
      <c r="AA12" s="427"/>
      <c r="AB12" s="427"/>
      <c r="AC12" s="427"/>
      <c r="AD12" s="427"/>
      <c r="AE12" s="427"/>
      <c r="AF12" s="427"/>
      <c r="AG12" s="428"/>
      <c r="AH12" s="75"/>
    </row>
    <row r="13" spans="1:35" s="21" customFormat="1" ht="88.5" customHeight="1" x14ac:dyDescent="0.25">
      <c r="A13" s="413" t="s">
        <v>153</v>
      </c>
      <c r="B13" s="361" t="s">
        <v>161</v>
      </c>
      <c r="C13" s="57" t="s">
        <v>20</v>
      </c>
      <c r="D13" s="58">
        <f>D14</f>
        <v>499.2</v>
      </c>
      <c r="E13" s="58">
        <f>E14</f>
        <v>299</v>
      </c>
      <c r="F13" s="58">
        <f>F14</f>
        <v>299</v>
      </c>
      <c r="G13" s="58">
        <f>G14</f>
        <v>299</v>
      </c>
      <c r="H13" s="58">
        <f>IFERROR(G13/D13*100,0)</f>
        <v>59.895833333333336</v>
      </c>
      <c r="I13" s="58">
        <f>IFERROR(G13/E13*100,0)</f>
        <v>100</v>
      </c>
      <c r="J13" s="59">
        <f t="shared" ref="J13:AG13" si="4">J14</f>
        <v>0</v>
      </c>
      <c r="K13" s="59">
        <f t="shared" si="4"/>
        <v>0</v>
      </c>
      <c r="L13" s="59">
        <f t="shared" si="4"/>
        <v>0</v>
      </c>
      <c r="M13" s="59">
        <f t="shared" si="4"/>
        <v>0</v>
      </c>
      <c r="N13" s="59">
        <f t="shared" si="4"/>
        <v>299</v>
      </c>
      <c r="O13" s="59">
        <f t="shared" si="4"/>
        <v>299</v>
      </c>
      <c r="P13" s="59">
        <f t="shared" si="4"/>
        <v>0</v>
      </c>
      <c r="Q13" s="59">
        <f t="shared" si="4"/>
        <v>0</v>
      </c>
      <c r="R13" s="59">
        <f t="shared" si="4"/>
        <v>0</v>
      </c>
      <c r="S13" s="59">
        <f t="shared" si="4"/>
        <v>0</v>
      </c>
      <c r="T13" s="59">
        <f t="shared" si="4"/>
        <v>200.2</v>
      </c>
      <c r="U13" s="59">
        <f t="shared" si="4"/>
        <v>0</v>
      </c>
      <c r="V13" s="59">
        <f t="shared" si="4"/>
        <v>0</v>
      </c>
      <c r="W13" s="59">
        <f t="shared" si="4"/>
        <v>0</v>
      </c>
      <c r="X13" s="59">
        <f t="shared" si="4"/>
        <v>0</v>
      </c>
      <c r="Y13" s="59">
        <f t="shared" si="4"/>
        <v>0</v>
      </c>
      <c r="Z13" s="59">
        <f t="shared" si="4"/>
        <v>0</v>
      </c>
      <c r="AA13" s="59">
        <f t="shared" si="4"/>
        <v>0</v>
      </c>
      <c r="AB13" s="59">
        <f t="shared" si="4"/>
        <v>0</v>
      </c>
      <c r="AC13" s="59">
        <f t="shared" si="4"/>
        <v>0</v>
      </c>
      <c r="AD13" s="59">
        <f t="shared" si="4"/>
        <v>0</v>
      </c>
      <c r="AE13" s="59">
        <f t="shared" si="4"/>
        <v>0</v>
      </c>
      <c r="AF13" s="59">
        <f t="shared" si="4"/>
        <v>0</v>
      </c>
      <c r="AG13" s="59">
        <f t="shared" si="4"/>
        <v>0</v>
      </c>
      <c r="AH13" s="60"/>
      <c r="AI13" s="23"/>
    </row>
    <row r="14" spans="1:35" s="21" customFormat="1" ht="105.75" customHeight="1" x14ac:dyDescent="0.25">
      <c r="A14" s="415"/>
      <c r="B14" s="363"/>
      <c r="C14" s="318" t="s">
        <v>21</v>
      </c>
      <c r="D14" s="62">
        <f>SUM(J14,L14,N14,P14,R14,T14,V14,X14,Z14,AB14,AD14,AF14)</f>
        <v>499.2</v>
      </c>
      <c r="E14" s="62">
        <f>J14+L14+N14</f>
        <v>299</v>
      </c>
      <c r="F14" s="62">
        <f>G14</f>
        <v>299</v>
      </c>
      <c r="G14" s="62">
        <f>SUM(K14,M14,O14,Q14,S14,U14,W14,Y14,AA14,AC14,AE14,AG14)</f>
        <v>299</v>
      </c>
      <c r="H14" s="62">
        <f>IFERROR(G14/D14*100,0)</f>
        <v>59.895833333333336</v>
      </c>
      <c r="I14" s="62">
        <f>IFERROR(G14/E14*100,0)</f>
        <v>100</v>
      </c>
      <c r="J14" s="63">
        <v>0</v>
      </c>
      <c r="K14" s="63">
        <v>0</v>
      </c>
      <c r="L14" s="63">
        <v>0</v>
      </c>
      <c r="M14" s="63">
        <v>0</v>
      </c>
      <c r="N14" s="63">
        <v>299</v>
      </c>
      <c r="O14" s="63">
        <v>299</v>
      </c>
      <c r="P14" s="63">
        <v>0</v>
      </c>
      <c r="Q14" s="63">
        <v>0</v>
      </c>
      <c r="R14" s="63">
        <v>0</v>
      </c>
      <c r="S14" s="63">
        <v>0</v>
      </c>
      <c r="T14" s="63">
        <v>200.2</v>
      </c>
      <c r="U14" s="63">
        <v>0</v>
      </c>
      <c r="V14" s="63">
        <v>0</v>
      </c>
      <c r="W14" s="63">
        <v>0</v>
      </c>
      <c r="X14" s="63">
        <v>0</v>
      </c>
      <c r="Y14" s="63">
        <v>0</v>
      </c>
      <c r="Z14" s="63">
        <v>0</v>
      </c>
      <c r="AA14" s="63">
        <v>0</v>
      </c>
      <c r="AB14" s="63">
        <v>0</v>
      </c>
      <c r="AC14" s="63">
        <v>0</v>
      </c>
      <c r="AD14" s="63">
        <v>0</v>
      </c>
      <c r="AE14" s="63">
        <v>0</v>
      </c>
      <c r="AF14" s="63">
        <v>0</v>
      </c>
      <c r="AG14" s="63">
        <v>0</v>
      </c>
      <c r="AH14" s="60"/>
      <c r="AI14" s="23"/>
    </row>
    <row r="15" spans="1:35" s="26" customFormat="1" ht="18.75" customHeight="1" x14ac:dyDescent="0.25">
      <c r="A15" s="132" t="s">
        <v>154</v>
      </c>
      <c r="B15" s="426" t="s">
        <v>162</v>
      </c>
      <c r="C15" s="427"/>
      <c r="D15" s="427"/>
      <c r="E15" s="427"/>
      <c r="F15" s="427"/>
      <c r="G15" s="427"/>
      <c r="H15" s="427"/>
      <c r="I15" s="427"/>
      <c r="J15" s="427"/>
      <c r="K15" s="427"/>
      <c r="L15" s="427"/>
      <c r="M15" s="427"/>
      <c r="N15" s="427"/>
      <c r="O15" s="427"/>
      <c r="P15" s="427"/>
      <c r="Q15" s="427"/>
      <c r="R15" s="427"/>
      <c r="S15" s="427"/>
      <c r="T15" s="427"/>
      <c r="U15" s="427"/>
      <c r="V15" s="427"/>
      <c r="W15" s="427"/>
      <c r="X15" s="427"/>
      <c r="Y15" s="427"/>
      <c r="Z15" s="427"/>
      <c r="AA15" s="427"/>
      <c r="AB15" s="427"/>
      <c r="AC15" s="427"/>
      <c r="AD15" s="427"/>
      <c r="AE15" s="427"/>
      <c r="AF15" s="427"/>
      <c r="AG15" s="428"/>
      <c r="AH15" s="75"/>
    </row>
    <row r="16" spans="1:35" s="21" customFormat="1" ht="82.5" customHeight="1" x14ac:dyDescent="0.25">
      <c r="A16" s="413" t="s">
        <v>163</v>
      </c>
      <c r="B16" s="361" t="s">
        <v>164</v>
      </c>
      <c r="C16" s="57" t="s">
        <v>20</v>
      </c>
      <c r="D16" s="58">
        <f>D17</f>
        <v>38314.299680000004</v>
      </c>
      <c r="E16" s="58">
        <f>E17</f>
        <v>7319.1965500000006</v>
      </c>
      <c r="F16" s="58">
        <f>F17</f>
        <v>4836.2369399999998</v>
      </c>
      <c r="G16" s="58">
        <f>G17</f>
        <v>4836.2369399999998</v>
      </c>
      <c r="H16" s="58">
        <f t="shared" ref="H16:H21" si="5">IFERROR(G16/D16*100,0)</f>
        <v>12.622537748026508</v>
      </c>
      <c r="I16" s="58">
        <f t="shared" ref="I16:I21" si="6">IFERROR(G16/E16*100,0)</f>
        <v>66.076063225819496</v>
      </c>
      <c r="J16" s="59">
        <f t="shared" ref="J16:AG16" si="7">J17</f>
        <v>2602.2539999999999</v>
      </c>
      <c r="K16" s="59">
        <f t="shared" si="7"/>
        <v>1757.0483200000001</v>
      </c>
      <c r="L16" s="59">
        <f t="shared" si="7"/>
        <v>3489.15461</v>
      </c>
      <c r="M16" s="59">
        <f t="shared" si="7"/>
        <v>1635.1676299999999</v>
      </c>
      <c r="N16" s="59">
        <f t="shared" si="7"/>
        <v>1227.7879399999999</v>
      </c>
      <c r="O16" s="59">
        <f t="shared" si="7"/>
        <v>1444.02099</v>
      </c>
      <c r="P16" s="59">
        <f t="shared" si="7"/>
        <v>6764.39581</v>
      </c>
      <c r="Q16" s="59">
        <f t="shared" si="7"/>
        <v>0</v>
      </c>
      <c r="R16" s="59">
        <f t="shared" si="7"/>
        <v>1071.3579999999999</v>
      </c>
      <c r="S16" s="59">
        <f t="shared" si="7"/>
        <v>0</v>
      </c>
      <c r="T16" s="59">
        <f t="shared" si="7"/>
        <v>1575.1579999999999</v>
      </c>
      <c r="U16" s="59">
        <f t="shared" si="7"/>
        <v>0</v>
      </c>
      <c r="V16" s="59">
        <f t="shared" si="7"/>
        <v>6810.6444600000004</v>
      </c>
      <c r="W16" s="59">
        <f t="shared" si="7"/>
        <v>0</v>
      </c>
      <c r="X16" s="59">
        <f t="shared" si="7"/>
        <v>861.35799999999995</v>
      </c>
      <c r="Y16" s="59">
        <f t="shared" si="7"/>
        <v>0</v>
      </c>
      <c r="Z16" s="59">
        <f t="shared" si="7"/>
        <v>911.35799999999995</v>
      </c>
      <c r="AA16" s="59">
        <f t="shared" si="7"/>
        <v>0</v>
      </c>
      <c r="AB16" s="59">
        <f t="shared" si="7"/>
        <v>3575.2428</v>
      </c>
      <c r="AC16" s="59">
        <f t="shared" si="7"/>
        <v>0</v>
      </c>
      <c r="AD16" s="59">
        <f t="shared" si="7"/>
        <v>861.04962999999998</v>
      </c>
      <c r="AE16" s="59">
        <f t="shared" si="7"/>
        <v>0</v>
      </c>
      <c r="AF16" s="59">
        <f t="shared" si="7"/>
        <v>8564.5384300000005</v>
      </c>
      <c r="AG16" s="59">
        <f t="shared" si="7"/>
        <v>0</v>
      </c>
      <c r="AH16" s="48"/>
      <c r="AI16" s="20"/>
    </row>
    <row r="17" spans="1:35" s="22" customFormat="1" ht="73.5" customHeight="1" x14ac:dyDescent="0.25">
      <c r="A17" s="415"/>
      <c r="B17" s="363"/>
      <c r="C17" s="318" t="s">
        <v>21</v>
      </c>
      <c r="D17" s="62">
        <f>SUM(J17,L17,N17,P17,R17,T17,V17,X17,Z17,AB17,AD17,AF17)</f>
        <v>38314.299680000004</v>
      </c>
      <c r="E17" s="62">
        <f>J17+L17+N17</f>
        <v>7319.1965500000006</v>
      </c>
      <c r="F17" s="62">
        <f>G17</f>
        <v>4836.2369399999998</v>
      </c>
      <c r="G17" s="62">
        <f>SUM(K17,M17,O17,Q17,S17,U17,W17,Y17,AA17,AC17,AE17,AG17)</f>
        <v>4836.2369399999998</v>
      </c>
      <c r="H17" s="302">
        <f t="shared" si="5"/>
        <v>12.622537748026508</v>
      </c>
      <c r="I17" s="302">
        <f t="shared" si="6"/>
        <v>66.076063225819496</v>
      </c>
      <c r="J17" s="303">
        <v>2602.2539999999999</v>
      </c>
      <c r="K17" s="303">
        <v>1757.0483200000001</v>
      </c>
      <c r="L17" s="303">
        <f>3282.855+206.29961</f>
        <v>3489.15461</v>
      </c>
      <c r="M17" s="303">
        <f>1428.86802+206.29961</f>
        <v>1635.1676299999999</v>
      </c>
      <c r="N17" s="303">
        <f>1116.752+111.03594</f>
        <v>1227.7879399999999</v>
      </c>
      <c r="O17" s="303">
        <f>1332.98505+111.03594</f>
        <v>1444.02099</v>
      </c>
      <c r="P17" s="303">
        <f>6764.39581</f>
        <v>6764.39581</v>
      </c>
      <c r="Q17" s="303">
        <v>0</v>
      </c>
      <c r="R17" s="303">
        <v>1071.3579999999999</v>
      </c>
      <c r="S17" s="303">
        <v>0</v>
      </c>
      <c r="T17" s="303">
        <v>1575.1579999999999</v>
      </c>
      <c r="U17" s="303">
        <v>0</v>
      </c>
      <c r="V17" s="303">
        <v>6810.6444600000004</v>
      </c>
      <c r="W17" s="303">
        <v>0</v>
      </c>
      <c r="X17" s="303">
        <v>861.35799999999995</v>
      </c>
      <c r="Y17" s="303">
        <v>0</v>
      </c>
      <c r="Z17" s="303">
        <v>911.35799999999995</v>
      </c>
      <c r="AA17" s="303">
        <v>0</v>
      </c>
      <c r="AB17" s="303">
        <v>3575.2428</v>
      </c>
      <c r="AC17" s="303">
        <v>0</v>
      </c>
      <c r="AD17" s="303">
        <v>861.04962999999998</v>
      </c>
      <c r="AE17" s="303">
        <v>0</v>
      </c>
      <c r="AF17" s="303">
        <f>6031.97398+1151.20039+1381.36406</f>
        <v>8564.5384300000005</v>
      </c>
      <c r="AG17" s="303">
        <v>0</v>
      </c>
      <c r="AH17" s="46"/>
      <c r="AI17" s="20"/>
    </row>
    <row r="18" spans="1:35" s="21" customFormat="1" ht="82.5" customHeight="1" x14ac:dyDescent="0.25">
      <c r="A18" s="413" t="s">
        <v>156</v>
      </c>
      <c r="B18" s="361" t="s">
        <v>165</v>
      </c>
      <c r="C18" s="57" t="s">
        <v>20</v>
      </c>
      <c r="D18" s="59">
        <f>D19+D20+D21</f>
        <v>8859.1014400000004</v>
      </c>
      <c r="E18" s="59">
        <f>E19+E20+E21</f>
        <v>2042.2385400000001</v>
      </c>
      <c r="F18" s="59">
        <f>F19+F20+F21</f>
        <v>1979.0912000000001</v>
      </c>
      <c r="G18" s="59">
        <f>G19+G20+G21</f>
        <v>1979.0912000000001</v>
      </c>
      <c r="H18" s="59">
        <f t="shared" si="5"/>
        <v>22.339638093138259</v>
      </c>
      <c r="I18" s="59">
        <f t="shared" si="6"/>
        <v>96.90793515237452</v>
      </c>
      <c r="J18" s="327">
        <f t="shared" ref="J18:AG18" si="8">J19+J20+J21</f>
        <v>811.04154000000005</v>
      </c>
      <c r="K18" s="327">
        <f t="shared" si="8"/>
        <v>612.34142999999995</v>
      </c>
      <c r="L18" s="327">
        <f t="shared" si="8"/>
        <v>753.69100000000003</v>
      </c>
      <c r="M18" s="327">
        <f t="shared" si="8"/>
        <v>794.68974000000003</v>
      </c>
      <c r="N18" s="327">
        <f t="shared" si="8"/>
        <v>477.50599999999997</v>
      </c>
      <c r="O18" s="327">
        <f t="shared" si="8"/>
        <v>572.06002999999998</v>
      </c>
      <c r="P18" s="327">
        <f t="shared" si="8"/>
        <v>643.48114999999996</v>
      </c>
      <c r="Q18" s="327">
        <f t="shared" si="8"/>
        <v>0</v>
      </c>
      <c r="R18" s="327">
        <f t="shared" si="8"/>
        <v>737.37800000000004</v>
      </c>
      <c r="S18" s="327">
        <f t="shared" si="8"/>
        <v>0</v>
      </c>
      <c r="T18" s="327">
        <f t="shared" si="8"/>
        <v>677.05</v>
      </c>
      <c r="U18" s="327">
        <f t="shared" si="8"/>
        <v>0</v>
      </c>
      <c r="V18" s="327">
        <f t="shared" si="8"/>
        <v>909.14414999999997</v>
      </c>
      <c r="W18" s="327">
        <f t="shared" si="8"/>
        <v>0</v>
      </c>
      <c r="X18" s="327">
        <f t="shared" si="8"/>
        <v>878.15700000000004</v>
      </c>
      <c r="Y18" s="327">
        <f t="shared" si="8"/>
        <v>0</v>
      </c>
      <c r="Z18" s="327">
        <f t="shared" si="8"/>
        <v>748.149</v>
      </c>
      <c r="AA18" s="327">
        <f t="shared" si="8"/>
        <v>0</v>
      </c>
      <c r="AB18" s="327">
        <f t="shared" si="8"/>
        <v>875.63160000000005</v>
      </c>
      <c r="AC18" s="327">
        <f t="shared" si="8"/>
        <v>0</v>
      </c>
      <c r="AD18" s="327">
        <f t="shared" si="8"/>
        <v>514.73599999999999</v>
      </c>
      <c r="AE18" s="327">
        <f t="shared" si="8"/>
        <v>0</v>
      </c>
      <c r="AF18" s="327">
        <f t="shared" si="8"/>
        <v>833.13599999999997</v>
      </c>
      <c r="AG18" s="59">
        <f t="shared" si="8"/>
        <v>0</v>
      </c>
      <c r="AH18" s="60"/>
      <c r="AI18" s="20"/>
    </row>
    <row r="19" spans="1:35" s="21" customFormat="1" ht="45.75" customHeight="1" x14ac:dyDescent="0.25">
      <c r="A19" s="414"/>
      <c r="B19" s="362"/>
      <c r="C19" s="318" t="s">
        <v>52</v>
      </c>
      <c r="D19" s="62">
        <f>SUM(J19,L19,N19,P19,R19,T19,V19,X19,Z19,AB19,AD19,AF19)</f>
        <v>6379.0000000000009</v>
      </c>
      <c r="E19" s="62">
        <f>J19+L19+N19</f>
        <v>1594.749</v>
      </c>
      <c r="F19" s="62">
        <f>G19</f>
        <v>1537.8413500000001</v>
      </c>
      <c r="G19" s="62">
        <f>SUM(K19,M19,O19,Q19,S19,U19,W19,Y19,AA19,AC19,AE19,AG19)</f>
        <v>1537.8413500000001</v>
      </c>
      <c r="H19" s="62">
        <f t="shared" si="5"/>
        <v>24.107875058786643</v>
      </c>
      <c r="I19" s="62">
        <f t="shared" si="6"/>
        <v>96.431560703283097</v>
      </c>
      <c r="J19" s="303">
        <v>533.65200000000004</v>
      </c>
      <c r="K19" s="303">
        <v>407.34699999999998</v>
      </c>
      <c r="L19" s="303">
        <v>734.69100000000003</v>
      </c>
      <c r="M19" s="303">
        <v>781.77151000000003</v>
      </c>
      <c r="N19" s="303">
        <v>326.40600000000001</v>
      </c>
      <c r="O19" s="303">
        <v>348.72284000000002</v>
      </c>
      <c r="P19" s="303">
        <v>457.40699999999998</v>
      </c>
      <c r="Q19" s="303">
        <v>0</v>
      </c>
      <c r="R19" s="303">
        <v>544.53800000000001</v>
      </c>
      <c r="S19" s="303">
        <v>0</v>
      </c>
      <c r="T19" s="303">
        <v>558.61</v>
      </c>
      <c r="U19" s="303">
        <v>0</v>
      </c>
      <c r="V19" s="303">
        <v>523.43399999999997</v>
      </c>
      <c r="W19" s="303">
        <v>0</v>
      </c>
      <c r="X19" s="303">
        <v>653.15700000000004</v>
      </c>
      <c r="Y19" s="303">
        <v>0</v>
      </c>
      <c r="Z19" s="303">
        <v>718.149</v>
      </c>
      <c r="AA19" s="303">
        <v>0</v>
      </c>
      <c r="AB19" s="303">
        <v>339.88</v>
      </c>
      <c r="AC19" s="303">
        <v>0</v>
      </c>
      <c r="AD19" s="303">
        <v>464.73599999999999</v>
      </c>
      <c r="AE19" s="303">
        <v>0</v>
      </c>
      <c r="AF19" s="303">
        <v>524.34</v>
      </c>
      <c r="AG19" s="63">
        <v>0</v>
      </c>
      <c r="AH19" s="60"/>
      <c r="AI19" s="20"/>
    </row>
    <row r="20" spans="1:35" s="21" customFormat="1" ht="52.5" customHeight="1" x14ac:dyDescent="0.25">
      <c r="A20" s="414"/>
      <c r="B20" s="362"/>
      <c r="C20" s="318" t="s">
        <v>22</v>
      </c>
      <c r="D20" s="62">
        <f>SUM(J20,L20,N20,P20,R20,T20,V20,X20,Z20,AB20,AD20,AF20)</f>
        <v>2480.1014399999999</v>
      </c>
      <c r="E20" s="62">
        <f>J20+L20+N20</f>
        <v>447.48954000000003</v>
      </c>
      <c r="F20" s="62">
        <f>G20</f>
        <v>441.24984999999998</v>
      </c>
      <c r="G20" s="62">
        <f>SUM(K20,M20,O20,Q20,S20,U20,W20,Y20,AA20,AC20,AE20,AG20)</f>
        <v>441.24984999999998</v>
      </c>
      <c r="H20" s="62">
        <f t="shared" si="5"/>
        <v>17.791604927256525</v>
      </c>
      <c r="I20" s="62">
        <f t="shared" si="6"/>
        <v>98.605623273339518</v>
      </c>
      <c r="J20" s="303">
        <v>277.38954000000001</v>
      </c>
      <c r="K20" s="303">
        <v>204.99442999999999</v>
      </c>
      <c r="L20" s="303">
        <v>19</v>
      </c>
      <c r="M20" s="303">
        <v>12.918229999999999</v>
      </c>
      <c r="N20" s="303">
        <v>151.1</v>
      </c>
      <c r="O20" s="303">
        <v>223.33718999999999</v>
      </c>
      <c r="P20" s="303">
        <v>186.07415</v>
      </c>
      <c r="Q20" s="303">
        <v>0</v>
      </c>
      <c r="R20" s="303">
        <v>192.84</v>
      </c>
      <c r="S20" s="303">
        <v>0</v>
      </c>
      <c r="T20" s="303">
        <v>118.44</v>
      </c>
      <c r="U20" s="303">
        <v>0</v>
      </c>
      <c r="V20" s="303">
        <v>385.71015</v>
      </c>
      <c r="W20" s="303">
        <v>0</v>
      </c>
      <c r="X20" s="303">
        <v>225</v>
      </c>
      <c r="Y20" s="303">
        <v>0</v>
      </c>
      <c r="Z20" s="303">
        <v>30</v>
      </c>
      <c r="AA20" s="303">
        <v>0</v>
      </c>
      <c r="AB20" s="303">
        <v>535.75160000000005</v>
      </c>
      <c r="AC20" s="303">
        <v>0</v>
      </c>
      <c r="AD20" s="303">
        <v>50</v>
      </c>
      <c r="AE20" s="303">
        <v>0</v>
      </c>
      <c r="AF20" s="303">
        <v>308.79599999999999</v>
      </c>
      <c r="AG20" s="63">
        <v>0</v>
      </c>
      <c r="AH20" s="60"/>
      <c r="AI20" s="20"/>
    </row>
    <row r="21" spans="1:35" s="22" customFormat="1" ht="53.25" customHeight="1" x14ac:dyDescent="0.25">
      <c r="A21" s="415"/>
      <c r="B21" s="363"/>
      <c r="C21" s="318" t="s">
        <v>21</v>
      </c>
      <c r="D21" s="62">
        <f>SUM(J21,L21,N21,P21,R21,T21,V21,X21,Z21,AB21,AD21,AF21)</f>
        <v>0</v>
      </c>
      <c r="E21" s="62">
        <f>J21</f>
        <v>0</v>
      </c>
      <c r="F21" s="62">
        <f>G21</f>
        <v>0</v>
      </c>
      <c r="G21" s="62">
        <f>SUM(K21,M21,O21,Q21,S21,U21,W21,Y21,AA21,AC21,AE21,AG21)</f>
        <v>0</v>
      </c>
      <c r="H21" s="62">
        <f t="shared" si="5"/>
        <v>0</v>
      </c>
      <c r="I21" s="62">
        <f t="shared" si="6"/>
        <v>0</v>
      </c>
      <c r="J21" s="63">
        <v>0</v>
      </c>
      <c r="K21" s="63">
        <v>0</v>
      </c>
      <c r="L21" s="63">
        <v>0</v>
      </c>
      <c r="M21" s="63">
        <v>0</v>
      </c>
      <c r="N21" s="63">
        <v>0</v>
      </c>
      <c r="O21" s="63">
        <v>0</v>
      </c>
      <c r="P21" s="63">
        <v>0</v>
      </c>
      <c r="Q21" s="63">
        <v>0</v>
      </c>
      <c r="R21" s="63">
        <v>0</v>
      </c>
      <c r="S21" s="63">
        <v>0</v>
      </c>
      <c r="T21" s="63">
        <v>0</v>
      </c>
      <c r="U21" s="63">
        <v>0</v>
      </c>
      <c r="V21" s="63">
        <v>0</v>
      </c>
      <c r="W21" s="63">
        <v>0</v>
      </c>
      <c r="X21" s="63">
        <v>0</v>
      </c>
      <c r="Y21" s="63">
        <v>0</v>
      </c>
      <c r="Z21" s="63">
        <v>0</v>
      </c>
      <c r="AA21" s="63">
        <v>0</v>
      </c>
      <c r="AB21" s="63">
        <v>0</v>
      </c>
      <c r="AC21" s="63">
        <v>0</v>
      </c>
      <c r="AD21" s="63">
        <v>0</v>
      </c>
      <c r="AE21" s="63">
        <v>0</v>
      </c>
      <c r="AF21" s="63">
        <v>0</v>
      </c>
      <c r="AG21" s="63">
        <v>0</v>
      </c>
      <c r="AH21" s="64"/>
      <c r="AI21" s="20"/>
    </row>
    <row r="22" spans="1:35" s="26" customFormat="1" ht="18.75" customHeight="1" x14ac:dyDescent="0.25">
      <c r="A22" s="132" t="s">
        <v>157</v>
      </c>
      <c r="B22" s="426" t="s">
        <v>166</v>
      </c>
      <c r="C22" s="427"/>
      <c r="D22" s="427"/>
      <c r="E22" s="427"/>
      <c r="F22" s="427"/>
      <c r="G22" s="427"/>
      <c r="H22" s="427"/>
      <c r="I22" s="427"/>
      <c r="J22" s="427"/>
      <c r="K22" s="427"/>
      <c r="L22" s="427"/>
      <c r="M22" s="427"/>
      <c r="N22" s="427"/>
      <c r="O22" s="427"/>
      <c r="P22" s="427"/>
      <c r="Q22" s="427"/>
      <c r="R22" s="427"/>
      <c r="S22" s="427"/>
      <c r="T22" s="427"/>
      <c r="U22" s="427"/>
      <c r="V22" s="427"/>
      <c r="W22" s="427"/>
      <c r="X22" s="427"/>
      <c r="Y22" s="427"/>
      <c r="Z22" s="427"/>
      <c r="AA22" s="427"/>
      <c r="AB22" s="427"/>
      <c r="AC22" s="427"/>
      <c r="AD22" s="427"/>
      <c r="AE22" s="427"/>
      <c r="AF22" s="427"/>
      <c r="AG22" s="428"/>
      <c r="AH22" s="75"/>
    </row>
    <row r="23" spans="1:35" s="131" customFormat="1" ht="112.5" customHeight="1" x14ac:dyDescent="0.25">
      <c r="A23" s="413" t="s">
        <v>158</v>
      </c>
      <c r="B23" s="361" t="s">
        <v>167</v>
      </c>
      <c r="C23" s="57" t="s">
        <v>20</v>
      </c>
      <c r="D23" s="58">
        <f>D24</f>
        <v>121681.70000000001</v>
      </c>
      <c r="E23" s="58">
        <f>E24</f>
        <v>36048.88076</v>
      </c>
      <c r="F23" s="58">
        <f>F24</f>
        <v>30788.701200000003</v>
      </c>
      <c r="G23" s="58">
        <f>G24</f>
        <v>30788.701200000003</v>
      </c>
      <c r="H23" s="58">
        <f>IFERROR(G23/D23*100,0)</f>
        <v>25.302655370528189</v>
      </c>
      <c r="I23" s="58">
        <f>IFERROR(G23/E23*100,0)</f>
        <v>85.40820283708581</v>
      </c>
      <c r="J23" s="59">
        <f t="shared" ref="J23:AG23" si="9">J24</f>
        <v>17145.027999999998</v>
      </c>
      <c r="K23" s="59">
        <f t="shared" si="9"/>
        <v>8806.2244300000002</v>
      </c>
      <c r="L23" s="59">
        <f t="shared" si="9"/>
        <v>10685.566000000001</v>
      </c>
      <c r="M23" s="59">
        <f t="shared" si="9"/>
        <v>12161.342049999999</v>
      </c>
      <c r="N23" s="59">
        <f t="shared" si="9"/>
        <v>8218.2867600000009</v>
      </c>
      <c r="O23" s="59">
        <f t="shared" si="9"/>
        <v>9821.13472</v>
      </c>
      <c r="P23" s="59">
        <f t="shared" si="9"/>
        <v>12331.16624</v>
      </c>
      <c r="Q23" s="59">
        <f t="shared" si="9"/>
        <v>0</v>
      </c>
      <c r="R23" s="59">
        <f t="shared" si="9"/>
        <v>9696.7900000000009</v>
      </c>
      <c r="S23" s="59">
        <f t="shared" si="9"/>
        <v>0</v>
      </c>
      <c r="T23" s="59">
        <f t="shared" si="9"/>
        <v>7375.3630000000003</v>
      </c>
      <c r="U23" s="59">
        <f t="shared" si="9"/>
        <v>0</v>
      </c>
      <c r="V23" s="59">
        <f t="shared" si="9"/>
        <v>12997.514999999999</v>
      </c>
      <c r="W23" s="59">
        <f t="shared" si="9"/>
        <v>0</v>
      </c>
      <c r="X23" s="59">
        <f t="shared" si="9"/>
        <v>9988.0630000000001</v>
      </c>
      <c r="Y23" s="59">
        <f t="shared" si="9"/>
        <v>0</v>
      </c>
      <c r="Z23" s="59">
        <f t="shared" si="9"/>
        <v>7200.07</v>
      </c>
      <c r="AA23" s="59">
        <f t="shared" si="9"/>
        <v>0</v>
      </c>
      <c r="AB23" s="59">
        <f t="shared" si="9"/>
        <v>8959.8719999999994</v>
      </c>
      <c r="AC23" s="59">
        <f t="shared" si="9"/>
        <v>0</v>
      </c>
      <c r="AD23" s="59">
        <f t="shared" si="9"/>
        <v>8171.8649999999998</v>
      </c>
      <c r="AE23" s="59">
        <f t="shared" si="9"/>
        <v>0</v>
      </c>
      <c r="AF23" s="59">
        <f t="shared" si="9"/>
        <v>8912.1149999999998</v>
      </c>
      <c r="AG23" s="59">
        <f t="shared" si="9"/>
        <v>0</v>
      </c>
      <c r="AH23" s="60"/>
      <c r="AI23" s="19"/>
    </row>
    <row r="24" spans="1:35" s="18" customFormat="1" ht="115.5" customHeight="1" x14ac:dyDescent="0.25">
      <c r="A24" s="415"/>
      <c r="B24" s="363"/>
      <c r="C24" s="318" t="s">
        <v>21</v>
      </c>
      <c r="D24" s="62">
        <f>SUM(J24,L24,N24,P24,R24,T24,V24,X24,Z24,AB24,AD24,AF24)</f>
        <v>121681.70000000001</v>
      </c>
      <c r="E24" s="62">
        <f>J24+L24+N24</f>
        <v>36048.88076</v>
      </c>
      <c r="F24" s="62">
        <f>G24</f>
        <v>30788.701200000003</v>
      </c>
      <c r="G24" s="62">
        <f>SUM(K24,M24,O24,Q24,S24,U24,W24,Y24,AA24,AC24,AE24,AG24)</f>
        <v>30788.701200000003</v>
      </c>
      <c r="H24" s="62">
        <f>IFERROR(G24/D24*100,0)</f>
        <v>25.302655370528189</v>
      </c>
      <c r="I24" s="62">
        <f>IFERROR(G24/E24*100,0)</f>
        <v>85.40820283708581</v>
      </c>
      <c r="J24" s="303">
        <v>17145.027999999998</v>
      </c>
      <c r="K24" s="303">
        <v>8806.2244300000002</v>
      </c>
      <c r="L24" s="303">
        <v>10685.566000000001</v>
      </c>
      <c r="M24" s="303">
        <v>12161.342049999999</v>
      </c>
      <c r="N24" s="303">
        <v>8218.2867600000009</v>
      </c>
      <c r="O24" s="303">
        <v>9821.13472</v>
      </c>
      <c r="P24" s="303">
        <v>12331.16624</v>
      </c>
      <c r="Q24" s="303">
        <v>0</v>
      </c>
      <c r="R24" s="303">
        <v>9696.7900000000009</v>
      </c>
      <c r="S24" s="303">
        <v>0</v>
      </c>
      <c r="T24" s="303">
        <v>7375.3630000000003</v>
      </c>
      <c r="U24" s="303">
        <v>0</v>
      </c>
      <c r="V24" s="303">
        <v>12997.514999999999</v>
      </c>
      <c r="W24" s="303">
        <v>0</v>
      </c>
      <c r="X24" s="303">
        <v>9988.0630000000001</v>
      </c>
      <c r="Y24" s="303">
        <v>0</v>
      </c>
      <c r="Z24" s="303">
        <v>7200.07</v>
      </c>
      <c r="AA24" s="303">
        <v>0</v>
      </c>
      <c r="AB24" s="303">
        <v>8959.8719999999994</v>
      </c>
      <c r="AC24" s="303">
        <v>0</v>
      </c>
      <c r="AD24" s="303">
        <v>8171.8649999999998</v>
      </c>
      <c r="AE24" s="303">
        <v>0</v>
      </c>
      <c r="AF24" s="303">
        <v>8912.1149999999998</v>
      </c>
      <c r="AG24" s="303">
        <v>0</v>
      </c>
      <c r="AH24" s="64"/>
      <c r="AI24" s="19"/>
    </row>
    <row r="25" spans="1:35" s="10" customFormat="1" x14ac:dyDescent="0.25">
      <c r="C25" s="17"/>
    </row>
  </sheetData>
  <customSheetViews>
    <customSheetView guid="{2940A182-D1A7-43C5-8D6E-965BED4371B0}" scale="70" state="hidden">
      <pane xSplit="6" ySplit="7" topLeftCell="G8" activePane="bottomRight" state="frozen"/>
      <selection pane="bottomRight" activeCell="C14" sqref="C14"/>
      <pageMargins left="0.7" right="0.7" top="0.75" bottom="0.75" header="0.3" footer="0.3"/>
      <pageSetup paperSize="9" orientation="portrait" r:id="rId1"/>
    </customSheetView>
    <customSheetView guid="{BBF6B43F-E0FC-43DF-B91C-674F6AB4B556}" scale="70">
      <pane xSplit="6" ySplit="7" topLeftCell="G8" activePane="bottomRight" state="frozen"/>
      <selection pane="bottomRight" activeCell="C14" sqref="C14"/>
      <pageMargins left="0.7" right="0.7" top="0.75" bottom="0.75" header="0.3" footer="0.3"/>
      <pageSetup paperSize="9" orientation="portrait" r:id="rId2"/>
    </customSheetView>
    <customSheetView guid="{30B635D9-57DB-47D5-8A0F-4B30DD769960}" scale="70">
      <pane xSplit="6" ySplit="7" topLeftCell="G8" activePane="bottomRight" state="frozen"/>
      <selection pane="bottomRight" activeCell="C14" sqref="C14"/>
      <pageMargins left="0.7" right="0.7" top="0.75" bottom="0.75" header="0.3" footer="0.3"/>
      <pageSetup paperSize="9" orientation="portrait" r:id="rId3"/>
    </customSheetView>
    <customSheetView guid="{DAEDC989-02E7-4319-8354-59410ACF3F1F}" scale="70">
      <pane xSplit="6" ySplit="7" topLeftCell="G8" activePane="bottomRight" state="frozen"/>
      <selection pane="bottomRight" activeCell="C14" sqref="C14"/>
      <pageMargins left="0.7" right="0.7" top="0.75" bottom="0.75" header="0.3" footer="0.3"/>
      <pageSetup paperSize="9" orientation="portrait" r:id="rId4"/>
    </customSheetView>
    <customSheetView guid="{21E1D423-7B38-4272-8354-09B4DB62C9EB}" scale="70">
      <pane xSplit="6" ySplit="7" topLeftCell="G8" activePane="bottomRight" state="frozen"/>
      <selection pane="bottomRight" activeCell="C14" sqref="C14"/>
      <pageMargins left="0.7" right="0.7" top="0.75" bottom="0.75" header="0.3" footer="0.3"/>
      <pageSetup paperSize="9" orientation="portrait" r:id="rId5"/>
    </customSheetView>
    <customSheetView guid="{EA46B61D-849C-4795-A4FF-F8F1740022EB}" scale="70">
      <pane xSplit="6" ySplit="7" topLeftCell="G8" activePane="bottomRight" state="frozen"/>
      <selection pane="bottomRight" activeCell="C14" sqref="C14"/>
      <pageMargins left="0.7" right="0.7" top="0.75" bottom="0.75" header="0.3" footer="0.3"/>
      <pageSetup paperSize="9" orientation="portrait" r:id="rId6"/>
    </customSheetView>
    <customSheetView guid="{A0E2FBF6-E560-4343-8BE6-217DC798135B}" scale="70">
      <pane xSplit="6" ySplit="7" topLeftCell="G8" activePane="bottomRight" state="frozen"/>
      <selection pane="bottomRight" activeCell="C14" sqref="C14"/>
      <pageMargins left="0.7" right="0.7" top="0.75" bottom="0.75" header="0.3" footer="0.3"/>
      <pageSetup paperSize="9" orientation="portrait" r:id="rId7"/>
    </customSheetView>
    <customSheetView guid="{20A05A62-CBE8-4538-BBC3-2AD9D3B8FAC0}" scale="70">
      <pane xSplit="6" ySplit="7" topLeftCell="G8" activePane="bottomRight" state="frozen"/>
      <selection pane="bottomRight" activeCell="C14" sqref="C14"/>
      <pageMargins left="0.7" right="0.7" top="0.75" bottom="0.75" header="0.3" footer="0.3"/>
      <pageSetup paperSize="9" orientation="portrait" r:id="rId8"/>
    </customSheetView>
    <customSheetView guid="{A4AF2100-C59D-4F60-9EAB-56D9103463F7}" scale="70">
      <pane xSplit="6" ySplit="7" topLeftCell="G8" activePane="bottomRight" state="frozen"/>
      <selection pane="bottomRight" activeCell="C14" sqref="C14"/>
      <pageMargins left="0.7" right="0.7" top="0.75" bottom="0.75" header="0.3" footer="0.3"/>
      <pageSetup paperSize="9" orientation="portrait" r:id="rId9"/>
    </customSheetView>
    <customSheetView guid="{AB9978E4-895D-4050-8F07-2484E22632D1}" scale="70">
      <pane xSplit="6" ySplit="7" topLeftCell="G8" activePane="bottomRight" state="frozen"/>
      <selection pane="bottomRight" activeCell="C14" sqref="C14"/>
      <pageMargins left="0.7" right="0.7" top="0.75" bottom="0.75" header="0.3" footer="0.3"/>
      <pageSetup paperSize="9" orientation="portrait" r:id="rId10"/>
    </customSheetView>
    <customSheetView guid="{519948E4-0B24-465F-9D9E-44BE50D1D647}" scale="70">
      <pane xSplit="6" ySplit="7" topLeftCell="G8" activePane="bottomRight" state="frozen"/>
      <selection pane="bottomRight" activeCell="C14" sqref="C14"/>
      <pageMargins left="0.7" right="0.7" top="0.75" bottom="0.75" header="0.3" footer="0.3"/>
      <pageSetup paperSize="9" orientation="portrait" r:id="rId11"/>
    </customSheetView>
    <customSheetView guid="{C7DC638A-7F60-46C9-A1FB-9ADEAE87F332}" scale="70">
      <pane xSplit="6" ySplit="7" topLeftCell="G8" activePane="bottomRight" state="frozen"/>
      <selection pane="bottomRight" activeCell="C14" sqref="C14"/>
      <pageMargins left="0.7" right="0.7" top="0.75" bottom="0.75" header="0.3" footer="0.3"/>
      <pageSetup paperSize="9" orientation="portrait" r:id="rId12"/>
    </customSheetView>
    <customSheetView guid="{2A5A11D4-90C6-4A3E-8165-7D7BD634B22F}" scale="70">
      <pane xSplit="6" ySplit="7" topLeftCell="G8" activePane="bottomRight" state="frozen"/>
      <selection pane="bottomRight" activeCell="C14" sqref="C14"/>
      <pageMargins left="0.7" right="0.7" top="0.75" bottom="0.75" header="0.3" footer="0.3"/>
      <pageSetup paperSize="9" orientation="portrait" r:id="rId13"/>
    </customSheetView>
    <customSheetView guid="{562453CE-35F5-40A3-AD14-6399D1197C99}" scale="70">
      <pane xSplit="6" ySplit="7" topLeftCell="G8" activePane="bottomRight" state="frozen"/>
      <selection pane="bottomRight" activeCell="C14" sqref="C14"/>
      <pageMargins left="0.7" right="0.7" top="0.75" bottom="0.75" header="0.3" footer="0.3"/>
      <pageSetup paperSize="9" orientation="portrait" r:id="rId14"/>
    </customSheetView>
    <customSheetView guid="{B6B60ED6-A6CC-4DA7-A8CA-5E6DB52D5A87}" scale="70">
      <pane xSplit="6" ySplit="7" topLeftCell="G8" activePane="bottomRight" state="frozen"/>
      <selection pane="bottomRight" activeCell="C14" sqref="C14"/>
      <pageMargins left="0.7" right="0.7" top="0.75" bottom="0.75" header="0.3" footer="0.3"/>
      <pageSetup paperSize="9" orientation="portrait" r:id="rId15"/>
    </customSheetView>
    <customSheetView guid="{133BB3F8-8DD4-4AEF-8CD6-A5FB14681329}" scale="70">
      <pane xSplit="6" ySplit="7" topLeftCell="G8" activePane="bottomRight" state="frozen"/>
      <selection pane="bottomRight" activeCell="C14" sqref="C14"/>
      <pageMargins left="0.7" right="0.7" top="0.75" bottom="0.75" header="0.3" footer="0.3"/>
      <pageSetup paperSize="9" orientation="portrait" r:id="rId16"/>
    </customSheetView>
    <customSheetView guid="{5DF2C78B-5EE4-439D-8D72-8D3A913B65F9}" scale="70">
      <pane xSplit="6" ySplit="7" topLeftCell="Q8" activePane="bottomRight" state="frozen"/>
      <selection pane="bottomRight" activeCell="M28" sqref="M28"/>
      <pageMargins left="0.7" right="0.7" top="0.75" bottom="0.75" header="0.3" footer="0.3"/>
      <pageSetup paperSize="9" orientation="portrait" r:id="rId17"/>
    </customSheetView>
    <customSheetView guid="{60A1F930-4BEC-460A-8E14-01E47F6DD055}" scale="70">
      <pane xSplit="6" ySplit="7" topLeftCell="G8" activePane="bottomRight" state="frozen"/>
      <selection pane="bottomRight" activeCell="C14" sqref="C14"/>
      <pageMargins left="0.7" right="0.7" top="0.75" bottom="0.75" header="0.3" footer="0.3"/>
      <pageSetup paperSize="9" orientation="portrait" r:id="rId18"/>
    </customSheetView>
    <customSheetView guid="{7C5A2A36-3D69-43D9-9018-A52C27EC78F9}" scale="70">
      <pane xSplit="6" ySplit="7" topLeftCell="G8" activePane="bottomRight" state="frozen"/>
      <selection pane="bottomRight" activeCell="C14" sqref="C14"/>
      <pageMargins left="0.7" right="0.7" top="0.75" bottom="0.75" header="0.3" footer="0.3"/>
      <pageSetup paperSize="9" orientation="portrait" r:id="rId19"/>
    </customSheetView>
    <customSheetView guid="{C282AA4E-1BB5-4296-9AC6-844C0F88E5FC}" scale="70">
      <pane xSplit="6" ySplit="7" topLeftCell="G8" activePane="bottomRight" state="frozen"/>
      <selection pane="bottomRight" activeCell="C14" sqref="C14"/>
      <pageMargins left="0.7" right="0.7" top="0.75" bottom="0.75" header="0.3" footer="0.3"/>
      <pageSetup paperSize="9" orientation="portrait" r:id="rId20"/>
    </customSheetView>
    <customSheetView guid="{996EC2F0-F6EC-4E63-A83E-34865157BD8D}" scale="70">
      <pane xSplit="6" ySplit="7" topLeftCell="G8" activePane="bottomRight" state="frozen"/>
      <selection pane="bottomRight" activeCell="C14" sqref="C14"/>
      <pageMargins left="0.7" right="0.7" top="0.75" bottom="0.75" header="0.3" footer="0.3"/>
      <pageSetup paperSize="9" orientation="portrait" r:id="rId21"/>
    </customSheetView>
    <customSheetView guid="{AFADB96A-0516-43C1-9F1B-0604F3CAC04A}" scale="70">
      <pane xSplit="6" ySplit="7" topLeftCell="G8" activePane="bottomRight" state="frozen"/>
      <selection pane="bottomRight" activeCell="C14" sqref="C14"/>
      <pageMargins left="0.7" right="0.7" top="0.75" bottom="0.75" header="0.3" footer="0.3"/>
      <pageSetup paperSize="9" orientation="portrait" r:id="rId22"/>
    </customSheetView>
  </customSheetViews>
  <mergeCells count="36">
    <mergeCell ref="C2:S2"/>
    <mergeCell ref="C3:S3"/>
    <mergeCell ref="A4:A6"/>
    <mergeCell ref="B4:B6"/>
    <mergeCell ref="C4:C6"/>
    <mergeCell ref="D4:D5"/>
    <mergeCell ref="E4:E5"/>
    <mergeCell ref="F4:F5"/>
    <mergeCell ref="AH4:AH6"/>
    <mergeCell ref="A8:A11"/>
    <mergeCell ref="B8:B11"/>
    <mergeCell ref="B12:AG12"/>
    <mergeCell ref="AD4:AE5"/>
    <mergeCell ref="AF4:AG5"/>
    <mergeCell ref="R4:S5"/>
    <mergeCell ref="T4:U5"/>
    <mergeCell ref="AB4:AC5"/>
    <mergeCell ref="J4:K5"/>
    <mergeCell ref="L4:M5"/>
    <mergeCell ref="N4:O5"/>
    <mergeCell ref="P4:Q5"/>
    <mergeCell ref="A13:A14"/>
    <mergeCell ref="B13:B14"/>
    <mergeCell ref="V4:W5"/>
    <mergeCell ref="X4:Y5"/>
    <mergeCell ref="Z4:AA5"/>
    <mergeCell ref="G4:G5"/>
    <mergeCell ref="H4:I5"/>
    <mergeCell ref="B15:AG15"/>
    <mergeCell ref="B22:AG22"/>
    <mergeCell ref="A18:A21"/>
    <mergeCell ref="B18:B21"/>
    <mergeCell ref="A23:A24"/>
    <mergeCell ref="B23:B24"/>
    <mergeCell ref="A16:A17"/>
    <mergeCell ref="B16:B17"/>
  </mergeCells>
  <pageMargins left="0.7" right="0.7" top="0.75" bottom="0.75" header="0.3" footer="0.3"/>
  <pageSetup paperSize="9" orientation="portrait" r:id="rId2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I19"/>
  <sheetViews>
    <sheetView zoomScale="80" zoomScaleNormal="85" workbookViewId="0">
      <pane xSplit="6" ySplit="7" topLeftCell="G8" activePane="bottomRight" state="frozen"/>
      <selection pane="topRight" activeCell="G1" sqref="G1"/>
      <selection pane="bottomLeft" activeCell="A8" sqref="A8"/>
      <selection pane="bottomRight" activeCell="J26" sqref="J26"/>
    </sheetView>
  </sheetViews>
  <sheetFormatPr defaultColWidth="9.140625" defaultRowHeight="15" x14ac:dyDescent="0.25"/>
  <cols>
    <col min="1" max="1" width="6.5703125" style="8" customWidth="1"/>
    <col min="2" max="2" width="46.28515625" style="8" customWidth="1"/>
    <col min="3" max="3" width="18.5703125" style="9" customWidth="1"/>
    <col min="4" max="4" width="18" style="8" customWidth="1"/>
    <col min="5" max="5" width="14.7109375" style="8" customWidth="1"/>
    <col min="6" max="6" width="16.5703125" style="8" customWidth="1"/>
    <col min="7" max="7" width="17.85546875" style="8" customWidth="1"/>
    <col min="8" max="8" width="12.140625" style="8" customWidth="1"/>
    <col min="9" max="9" width="10.85546875" style="8" customWidth="1"/>
    <col min="10" max="10" width="14.28515625" style="8" customWidth="1"/>
    <col min="11" max="11" width="13.5703125" style="8" customWidth="1"/>
    <col min="12" max="12" width="13.85546875" style="8" customWidth="1"/>
    <col min="13" max="13" width="13" style="8" customWidth="1"/>
    <col min="14" max="14" width="13.42578125" style="8" customWidth="1"/>
    <col min="15" max="15" width="15" style="8" customWidth="1"/>
    <col min="16" max="16" width="13.4257812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3.5703125" style="8" customWidth="1"/>
    <col min="27" max="27" width="11.5703125" style="8" customWidth="1"/>
    <col min="28" max="28" width="13" style="8" customWidth="1"/>
    <col min="29" max="29" width="11.5703125" style="8" customWidth="1"/>
    <col min="30" max="30" width="13.42578125" style="8" customWidth="1"/>
    <col min="31" max="33" width="11.5703125" style="8" customWidth="1"/>
    <col min="34" max="34" width="38.5703125" style="8" customWidth="1"/>
    <col min="35" max="16384" width="9.140625" style="8"/>
  </cols>
  <sheetData>
    <row r="1" spans="1:35" ht="23.25" customHeight="1" x14ac:dyDescent="0.25">
      <c r="C1" s="1"/>
      <c r="D1" s="2"/>
      <c r="E1" s="2"/>
      <c r="F1" s="2"/>
      <c r="G1" s="2"/>
      <c r="H1" s="2"/>
      <c r="I1" s="2"/>
      <c r="J1" s="3"/>
      <c r="K1" s="3"/>
      <c r="L1" s="3"/>
      <c r="M1" s="3"/>
      <c r="N1" s="3"/>
      <c r="O1" s="3"/>
      <c r="P1" s="3"/>
      <c r="Q1" s="3"/>
      <c r="R1" s="3"/>
      <c r="S1" s="3"/>
      <c r="T1" s="3"/>
      <c r="U1" s="3"/>
      <c r="V1" s="5"/>
      <c r="W1" s="5"/>
      <c r="X1" s="5"/>
      <c r="Y1" s="5"/>
      <c r="Z1" s="5"/>
      <c r="AA1" s="5"/>
      <c r="AB1" s="5"/>
      <c r="AC1" s="5"/>
      <c r="AD1" s="6"/>
      <c r="AE1" s="6"/>
      <c r="AF1" s="6"/>
      <c r="AG1" s="3"/>
      <c r="AH1" s="7"/>
    </row>
    <row r="2" spans="1:35" s="10" customFormat="1" ht="15.75" x14ac:dyDescent="0.25">
      <c r="A2" s="55"/>
      <c r="B2" s="55"/>
      <c r="C2" s="346" t="s">
        <v>24</v>
      </c>
      <c r="D2" s="346"/>
      <c r="E2" s="346"/>
      <c r="F2" s="346"/>
      <c r="G2" s="346"/>
      <c r="H2" s="346"/>
      <c r="I2" s="346"/>
      <c r="J2" s="346"/>
      <c r="K2" s="346"/>
      <c r="L2" s="346"/>
      <c r="M2" s="346"/>
      <c r="N2" s="346"/>
      <c r="O2" s="346"/>
      <c r="P2" s="346"/>
      <c r="Q2" s="346"/>
      <c r="R2" s="346"/>
      <c r="S2" s="346"/>
      <c r="T2" s="35"/>
      <c r="U2" s="35"/>
      <c r="V2" s="35"/>
      <c r="W2" s="35"/>
      <c r="X2" s="35"/>
      <c r="Y2" s="35"/>
      <c r="Z2" s="35"/>
      <c r="AA2" s="35"/>
      <c r="AB2" s="35"/>
      <c r="AC2" s="35"/>
      <c r="AD2" s="35"/>
      <c r="AE2" s="35"/>
      <c r="AF2" s="35"/>
      <c r="AG2" s="35"/>
      <c r="AH2" s="35"/>
    </row>
    <row r="3" spans="1:35" s="10" customFormat="1" ht="36.75" customHeight="1" x14ac:dyDescent="0.25">
      <c r="A3" s="55"/>
      <c r="B3" s="55"/>
      <c r="C3" s="347" t="s">
        <v>39</v>
      </c>
      <c r="D3" s="347"/>
      <c r="E3" s="347"/>
      <c r="F3" s="347"/>
      <c r="G3" s="347"/>
      <c r="H3" s="347"/>
      <c r="I3" s="347"/>
      <c r="J3" s="347"/>
      <c r="K3" s="347"/>
      <c r="L3" s="347"/>
      <c r="M3" s="347"/>
      <c r="N3" s="347"/>
      <c r="O3" s="347"/>
      <c r="P3" s="347"/>
      <c r="Q3" s="347"/>
      <c r="R3" s="347"/>
      <c r="S3" s="347"/>
      <c r="T3" s="36"/>
      <c r="U3" s="36"/>
      <c r="V3" s="36"/>
      <c r="W3" s="36"/>
      <c r="X3" s="36"/>
      <c r="Y3" s="36"/>
      <c r="Z3" s="36"/>
      <c r="AA3" s="36"/>
      <c r="AB3" s="36"/>
      <c r="AC3" s="36"/>
      <c r="AD3" s="37"/>
      <c r="AE3" s="37"/>
      <c r="AF3" s="37"/>
      <c r="AG3" s="37" t="s">
        <v>0</v>
      </c>
      <c r="AH3" s="37"/>
    </row>
    <row r="4" spans="1:35" s="10" customFormat="1" ht="15" customHeight="1" x14ac:dyDescent="0.25">
      <c r="A4" s="348" t="s">
        <v>26</v>
      </c>
      <c r="B4" s="351" t="s">
        <v>29</v>
      </c>
      <c r="C4" s="351" t="s">
        <v>30</v>
      </c>
      <c r="D4" s="359"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10" customFormat="1" ht="39" customHeight="1" x14ac:dyDescent="0.25">
      <c r="A5" s="349"/>
      <c r="B5" s="352"/>
      <c r="C5" s="352"/>
      <c r="D5" s="360"/>
      <c r="E5" s="360"/>
      <c r="F5" s="360"/>
      <c r="G5" s="360"/>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5" s="10" customFormat="1" ht="64.5" customHeight="1" x14ac:dyDescent="0.25">
      <c r="A6" s="350"/>
      <c r="B6" s="353"/>
      <c r="C6" s="353"/>
      <c r="D6" s="38">
        <v>2025</v>
      </c>
      <c r="E6" s="294">
        <v>45748</v>
      </c>
      <c r="F6" s="294">
        <v>45748</v>
      </c>
      <c r="G6" s="294">
        <v>45748</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10" customFormat="1" ht="15.75" x14ac:dyDescent="0.25">
      <c r="A7" s="56">
        <v>1</v>
      </c>
      <c r="B7" s="56">
        <v>2</v>
      </c>
      <c r="C7" s="56">
        <v>3</v>
      </c>
      <c r="D7" s="56">
        <v>4</v>
      </c>
      <c r="E7" s="56">
        <v>5</v>
      </c>
      <c r="F7" s="56">
        <v>6</v>
      </c>
      <c r="G7" s="56">
        <v>7</v>
      </c>
      <c r="H7" s="56">
        <v>8</v>
      </c>
      <c r="I7" s="56">
        <v>9</v>
      </c>
      <c r="J7" s="56">
        <v>10</v>
      </c>
      <c r="K7" s="56">
        <v>11</v>
      </c>
      <c r="L7" s="56">
        <v>12</v>
      </c>
      <c r="M7" s="56">
        <v>13</v>
      </c>
      <c r="N7" s="56">
        <v>14</v>
      </c>
      <c r="O7" s="56">
        <v>15</v>
      </c>
      <c r="P7" s="56">
        <v>16</v>
      </c>
      <c r="Q7" s="56">
        <v>17</v>
      </c>
      <c r="R7" s="56">
        <v>18</v>
      </c>
      <c r="S7" s="56">
        <v>19</v>
      </c>
      <c r="T7" s="56">
        <v>20</v>
      </c>
      <c r="U7" s="56">
        <v>21</v>
      </c>
      <c r="V7" s="56">
        <v>22</v>
      </c>
      <c r="W7" s="56">
        <v>23</v>
      </c>
      <c r="X7" s="56">
        <v>24</v>
      </c>
      <c r="Y7" s="56">
        <v>25</v>
      </c>
      <c r="Z7" s="56">
        <v>26</v>
      </c>
      <c r="AA7" s="56">
        <v>27</v>
      </c>
      <c r="AB7" s="56">
        <v>28</v>
      </c>
      <c r="AC7" s="56">
        <v>29</v>
      </c>
      <c r="AD7" s="56">
        <v>30</v>
      </c>
      <c r="AE7" s="56">
        <v>31</v>
      </c>
      <c r="AF7" s="56">
        <v>32</v>
      </c>
      <c r="AG7" s="56">
        <v>33</v>
      </c>
      <c r="AH7" s="56">
        <v>34</v>
      </c>
    </row>
    <row r="8" spans="1:35" s="21" customFormat="1" ht="31.5" customHeight="1" x14ac:dyDescent="0.25">
      <c r="A8" s="413"/>
      <c r="B8" s="361" t="s">
        <v>23</v>
      </c>
      <c r="C8" s="57" t="s">
        <v>20</v>
      </c>
      <c r="D8" s="58">
        <f>D9+D10+D11</f>
        <v>327733.14253000007</v>
      </c>
      <c r="E8" s="58">
        <f t="shared" ref="E8:G8" si="0">E9+E10+E11</f>
        <v>95955.419529999999</v>
      </c>
      <c r="F8" s="58">
        <f t="shared" si="0"/>
        <v>81960.535480000006</v>
      </c>
      <c r="G8" s="58">
        <f t="shared" si="0"/>
        <v>138192.72548000002</v>
      </c>
      <c r="H8" s="58">
        <f>IFERROR(G8/D8*100,0)</f>
        <v>42.166234520315605</v>
      </c>
      <c r="I8" s="58">
        <f>IFERROR(G8/E8*100,0)</f>
        <v>144.01763460248822</v>
      </c>
      <c r="J8" s="59">
        <f>J9+J10+J11</f>
        <v>20451.02</v>
      </c>
      <c r="K8" s="59">
        <f t="shared" ref="K8:AG8" si="1">K9+K10+K11</f>
        <v>14508.087000000001</v>
      </c>
      <c r="L8" s="59">
        <f t="shared" si="1"/>
        <v>33791.969999999994</v>
      </c>
      <c r="M8" s="59">
        <f t="shared" si="1"/>
        <v>29954.99</v>
      </c>
      <c r="N8" s="59">
        <f t="shared" si="1"/>
        <v>39937.259529999996</v>
      </c>
      <c r="O8" s="59">
        <f t="shared" si="1"/>
        <v>36106.508479999997</v>
      </c>
      <c r="P8" s="59">
        <f t="shared" si="1"/>
        <v>74463.539999999994</v>
      </c>
      <c r="Q8" s="59">
        <f t="shared" si="1"/>
        <v>57623.14</v>
      </c>
      <c r="R8" s="59">
        <f t="shared" si="1"/>
        <v>19124.218499999999</v>
      </c>
      <c r="S8" s="59">
        <f t="shared" si="1"/>
        <v>0</v>
      </c>
      <c r="T8" s="59">
        <f t="shared" si="1"/>
        <v>19991.761500000001</v>
      </c>
      <c r="U8" s="59">
        <f t="shared" si="1"/>
        <v>0</v>
      </c>
      <c r="V8" s="59">
        <f t="shared" si="1"/>
        <v>15775.924499999999</v>
      </c>
      <c r="W8" s="59">
        <f t="shared" si="1"/>
        <v>0</v>
      </c>
      <c r="X8" s="59">
        <f t="shared" si="1"/>
        <v>15355.5065</v>
      </c>
      <c r="Y8" s="59">
        <f t="shared" si="1"/>
        <v>0</v>
      </c>
      <c r="Z8" s="59">
        <f t="shared" si="1"/>
        <v>16145.482499999998</v>
      </c>
      <c r="AA8" s="59">
        <f t="shared" si="1"/>
        <v>0</v>
      </c>
      <c r="AB8" s="59">
        <f t="shared" si="1"/>
        <v>55799.377</v>
      </c>
      <c r="AC8" s="59">
        <f t="shared" si="1"/>
        <v>0</v>
      </c>
      <c r="AD8" s="59">
        <f t="shared" si="1"/>
        <v>8890.6454999999987</v>
      </c>
      <c r="AE8" s="59">
        <f t="shared" si="1"/>
        <v>0</v>
      </c>
      <c r="AF8" s="59">
        <f t="shared" si="1"/>
        <v>8006.4370000000008</v>
      </c>
      <c r="AG8" s="59">
        <f t="shared" si="1"/>
        <v>0</v>
      </c>
      <c r="AH8" s="60"/>
    </row>
    <row r="9" spans="1:35" s="22" customFormat="1" ht="57" customHeight="1" x14ac:dyDescent="0.25">
      <c r="A9" s="414"/>
      <c r="B9" s="362"/>
      <c r="C9" s="61" t="s">
        <v>22</v>
      </c>
      <c r="D9" s="62">
        <f>D18</f>
        <v>5242.2000000000016</v>
      </c>
      <c r="E9" s="62">
        <f t="shared" ref="E9:G9" si="2">E18</f>
        <v>1793.65</v>
      </c>
      <c r="F9" s="62">
        <f t="shared" si="2"/>
        <v>433.5</v>
      </c>
      <c r="G9" s="62">
        <f t="shared" si="2"/>
        <v>433.5</v>
      </c>
      <c r="H9" s="62">
        <f>IFERROR(G9/D9*100,0)</f>
        <v>8.2694288657433876</v>
      </c>
      <c r="I9" s="62">
        <f>IFERROR(G9/E9*100,0)</f>
        <v>24.168594764864938</v>
      </c>
      <c r="J9" s="63">
        <f>J18</f>
        <v>300</v>
      </c>
      <c r="K9" s="63">
        <f t="shared" ref="K9:AG9" si="3">K18</f>
        <v>0</v>
      </c>
      <c r="L9" s="63">
        <f t="shared" si="3"/>
        <v>133.5</v>
      </c>
      <c r="M9" s="63">
        <f t="shared" si="3"/>
        <v>433.5</v>
      </c>
      <c r="N9" s="63">
        <f t="shared" si="3"/>
        <v>0</v>
      </c>
      <c r="O9" s="63">
        <f t="shared" si="3"/>
        <v>0</v>
      </c>
      <c r="P9" s="63">
        <f t="shared" si="3"/>
        <v>1360.15</v>
      </c>
      <c r="Q9" s="63">
        <f t="shared" si="3"/>
        <v>0</v>
      </c>
      <c r="R9" s="63">
        <f t="shared" si="3"/>
        <v>1402.9694999999999</v>
      </c>
      <c r="S9" s="63">
        <f t="shared" si="3"/>
        <v>0</v>
      </c>
      <c r="T9" s="63">
        <f t="shared" si="3"/>
        <v>1059.3195000000001</v>
      </c>
      <c r="U9" s="63">
        <f t="shared" si="3"/>
        <v>0</v>
      </c>
      <c r="V9" s="63">
        <f t="shared" si="3"/>
        <v>2.9695</v>
      </c>
      <c r="W9" s="63">
        <f t="shared" si="3"/>
        <v>0</v>
      </c>
      <c r="X9" s="63">
        <f t="shared" si="3"/>
        <v>2.9695</v>
      </c>
      <c r="Y9" s="63">
        <f t="shared" si="3"/>
        <v>0</v>
      </c>
      <c r="Z9" s="63">
        <f t="shared" si="3"/>
        <v>2.9695</v>
      </c>
      <c r="AA9" s="63">
        <f t="shared" si="3"/>
        <v>0</v>
      </c>
      <c r="AB9" s="63">
        <f t="shared" si="3"/>
        <v>968.44399999999996</v>
      </c>
      <c r="AC9" s="63">
        <f t="shared" si="3"/>
        <v>0</v>
      </c>
      <c r="AD9" s="63">
        <f t="shared" si="3"/>
        <v>2.9695</v>
      </c>
      <c r="AE9" s="63">
        <f t="shared" si="3"/>
        <v>0</v>
      </c>
      <c r="AF9" s="63">
        <f t="shared" si="3"/>
        <v>5.9390000000000001</v>
      </c>
      <c r="AG9" s="63">
        <f t="shared" si="3"/>
        <v>0</v>
      </c>
      <c r="AH9" s="64"/>
    </row>
    <row r="10" spans="1:35" s="22" customFormat="1" ht="38.25" customHeight="1" x14ac:dyDescent="0.25">
      <c r="A10" s="414"/>
      <c r="B10" s="362"/>
      <c r="C10" s="61" t="s">
        <v>21</v>
      </c>
      <c r="D10" s="62">
        <f>D14+D19</f>
        <v>317678.93953000003</v>
      </c>
      <c r="E10" s="62">
        <f t="shared" ref="E10:AG10" si="4">E14+E19</f>
        <v>92583.999530000001</v>
      </c>
      <c r="F10" s="62">
        <f t="shared" si="4"/>
        <v>79949.265480000002</v>
      </c>
      <c r="G10" s="62">
        <f t="shared" si="4"/>
        <v>137417.93548000001</v>
      </c>
      <c r="H10" s="62">
        <f>IFERROR(G10/D10*100,0)</f>
        <v>43.256860427482927</v>
      </c>
      <c r="I10" s="62">
        <f>IFERROR(G10/E10*100,0)</f>
        <v>148.42514492525513</v>
      </c>
      <c r="J10" s="62">
        <f t="shared" si="4"/>
        <v>19745.810000000001</v>
      </c>
      <c r="K10" s="62">
        <f t="shared" si="4"/>
        <v>14412.807000000001</v>
      </c>
      <c r="L10" s="62">
        <f t="shared" si="4"/>
        <v>33217.879999999997</v>
      </c>
      <c r="M10" s="62">
        <f t="shared" si="4"/>
        <v>29446.63</v>
      </c>
      <c r="N10" s="62">
        <f t="shared" si="4"/>
        <v>39620.309529999999</v>
      </c>
      <c r="O10" s="62">
        <f t="shared" si="4"/>
        <v>36089.828479999996</v>
      </c>
      <c r="P10" s="62">
        <f t="shared" si="4"/>
        <v>72688.37</v>
      </c>
      <c r="Q10" s="62">
        <f t="shared" si="4"/>
        <v>57468.67</v>
      </c>
      <c r="R10" s="62">
        <f t="shared" si="4"/>
        <v>17344.16</v>
      </c>
      <c r="S10" s="62">
        <f t="shared" si="4"/>
        <v>0</v>
      </c>
      <c r="T10" s="62">
        <f t="shared" si="4"/>
        <v>18475.849999999999</v>
      </c>
      <c r="U10" s="62">
        <f t="shared" si="4"/>
        <v>0</v>
      </c>
      <c r="V10" s="62">
        <f t="shared" si="4"/>
        <v>15275.58</v>
      </c>
      <c r="W10" s="62">
        <f t="shared" si="4"/>
        <v>0</v>
      </c>
      <c r="X10" s="62">
        <f t="shared" si="4"/>
        <v>14773.47</v>
      </c>
      <c r="Y10" s="62">
        <f t="shared" si="4"/>
        <v>0</v>
      </c>
      <c r="Z10" s="62">
        <f t="shared" si="4"/>
        <v>15789.98</v>
      </c>
      <c r="AA10" s="62">
        <f t="shared" si="4"/>
        <v>0</v>
      </c>
      <c r="AB10" s="62">
        <f t="shared" si="4"/>
        <v>54528.34</v>
      </c>
      <c r="AC10" s="62">
        <f t="shared" si="4"/>
        <v>0</v>
      </c>
      <c r="AD10" s="62">
        <f t="shared" si="4"/>
        <v>8570.76</v>
      </c>
      <c r="AE10" s="62">
        <f t="shared" si="4"/>
        <v>0</v>
      </c>
      <c r="AF10" s="62">
        <f t="shared" si="4"/>
        <v>7648.43</v>
      </c>
      <c r="AG10" s="62">
        <f t="shared" si="4"/>
        <v>0</v>
      </c>
      <c r="AH10" s="64"/>
    </row>
    <row r="11" spans="1:35" s="22" customFormat="1" ht="38.25" customHeight="1" x14ac:dyDescent="0.25">
      <c r="A11" s="415"/>
      <c r="B11" s="363"/>
      <c r="C11" s="65" t="s">
        <v>40</v>
      </c>
      <c r="D11" s="62">
        <f>D15</f>
        <v>4812.0029999999997</v>
      </c>
      <c r="E11" s="62">
        <f>E15</f>
        <v>1577.77</v>
      </c>
      <c r="F11" s="62">
        <f t="shared" ref="F11:AG11" si="5">F15</f>
        <v>1577.77</v>
      </c>
      <c r="G11" s="62">
        <f t="shared" si="5"/>
        <v>341.28999999999996</v>
      </c>
      <c r="H11" s="62">
        <f>IFERROR(G11/D11*100,0)</f>
        <v>7.0924727187410319</v>
      </c>
      <c r="I11" s="62">
        <f>IFERROR(G11/E11*100,0)</f>
        <v>21.631162970521682</v>
      </c>
      <c r="J11" s="62">
        <f t="shared" si="5"/>
        <v>405.21</v>
      </c>
      <c r="K11" s="62">
        <f t="shared" si="5"/>
        <v>95.28</v>
      </c>
      <c r="L11" s="62">
        <f t="shared" si="5"/>
        <v>440.59</v>
      </c>
      <c r="M11" s="62">
        <f t="shared" si="5"/>
        <v>74.86</v>
      </c>
      <c r="N11" s="62">
        <f t="shared" si="5"/>
        <v>316.95</v>
      </c>
      <c r="O11" s="62">
        <f t="shared" si="5"/>
        <v>16.68</v>
      </c>
      <c r="P11" s="62">
        <f t="shared" si="5"/>
        <v>415.02</v>
      </c>
      <c r="Q11" s="62">
        <f t="shared" si="5"/>
        <v>154.47</v>
      </c>
      <c r="R11" s="62">
        <f t="shared" si="5"/>
        <v>377.0889999999996</v>
      </c>
      <c r="S11" s="62">
        <f t="shared" si="5"/>
        <v>0</v>
      </c>
      <c r="T11" s="62">
        <f t="shared" si="5"/>
        <v>456.59200000000021</v>
      </c>
      <c r="U11" s="62">
        <f t="shared" si="5"/>
        <v>0</v>
      </c>
      <c r="V11" s="62">
        <f t="shared" si="5"/>
        <v>497.375</v>
      </c>
      <c r="W11" s="62">
        <f t="shared" si="5"/>
        <v>0</v>
      </c>
      <c r="X11" s="62">
        <f t="shared" si="5"/>
        <v>579.06700000000012</v>
      </c>
      <c r="Y11" s="62">
        <f t="shared" si="5"/>
        <v>0</v>
      </c>
      <c r="Z11" s="62">
        <f t="shared" si="5"/>
        <v>352.53300000000002</v>
      </c>
      <c r="AA11" s="62">
        <f t="shared" si="5"/>
        <v>0</v>
      </c>
      <c r="AB11" s="62">
        <f t="shared" si="5"/>
        <v>302.59300000000007</v>
      </c>
      <c r="AC11" s="62">
        <f t="shared" si="5"/>
        <v>0</v>
      </c>
      <c r="AD11" s="62">
        <f t="shared" si="5"/>
        <v>316.916</v>
      </c>
      <c r="AE11" s="62">
        <f t="shared" si="5"/>
        <v>0</v>
      </c>
      <c r="AF11" s="62">
        <f t="shared" si="5"/>
        <v>352.06800000000032</v>
      </c>
      <c r="AG11" s="62">
        <f t="shared" si="5"/>
        <v>0</v>
      </c>
      <c r="AH11" s="64"/>
    </row>
    <row r="12" spans="1:35" s="22" customFormat="1" ht="18.75" customHeight="1" x14ac:dyDescent="0.25">
      <c r="A12" s="66"/>
      <c r="B12" s="370" t="s">
        <v>43</v>
      </c>
      <c r="C12" s="371"/>
      <c r="D12" s="371"/>
      <c r="E12" s="371"/>
      <c r="F12" s="371"/>
      <c r="G12" s="371"/>
      <c r="H12" s="371"/>
      <c r="I12" s="371"/>
      <c r="J12" s="371"/>
      <c r="K12" s="371"/>
      <c r="L12" s="371"/>
      <c r="M12" s="371"/>
      <c r="N12" s="371"/>
      <c r="O12" s="371"/>
      <c r="P12" s="371"/>
      <c r="Q12" s="371"/>
      <c r="R12" s="371"/>
      <c r="S12" s="371"/>
      <c r="T12" s="371"/>
      <c r="U12" s="371"/>
      <c r="V12" s="371"/>
      <c r="W12" s="371"/>
      <c r="X12" s="371"/>
      <c r="Y12" s="371"/>
      <c r="Z12" s="371"/>
      <c r="AA12" s="371"/>
      <c r="AB12" s="371"/>
      <c r="AC12" s="371"/>
      <c r="AD12" s="371"/>
      <c r="AE12" s="371"/>
      <c r="AF12" s="371"/>
      <c r="AG12" s="372"/>
      <c r="AH12" s="64"/>
    </row>
    <row r="13" spans="1:35" s="21" customFormat="1" ht="294" customHeight="1" x14ac:dyDescent="0.25">
      <c r="A13" s="413" t="s">
        <v>37</v>
      </c>
      <c r="B13" s="361" t="s">
        <v>41</v>
      </c>
      <c r="C13" s="57" t="s">
        <v>20</v>
      </c>
      <c r="D13" s="58">
        <f>SUM(J13,L13,N13,P13,R13,T13,V13,X13,Z13,AB13,AD13,AF13)</f>
        <v>312346.24253000005</v>
      </c>
      <c r="E13" s="58">
        <f t="shared" ref="E13:F13" si="6">E14+E15</f>
        <v>91921.419529999999</v>
      </c>
      <c r="F13" s="58">
        <f t="shared" si="6"/>
        <v>79286.68548</v>
      </c>
      <c r="G13" s="58">
        <f>G14+G15</f>
        <v>135518.87548000002</v>
      </c>
      <c r="H13" s="58">
        <f>IFERROR(G13/D13*100,0)</f>
        <v>43.387387785522591</v>
      </c>
      <c r="I13" s="58">
        <f>IFERROR(G13/E13*100,0)</f>
        <v>147.42904991341143</v>
      </c>
      <c r="J13" s="59">
        <f>J14+J15</f>
        <v>20151.02</v>
      </c>
      <c r="K13" s="59">
        <f t="shared" ref="K13:AG13" si="7">K14+K15</f>
        <v>14508.087000000001</v>
      </c>
      <c r="L13" s="59">
        <f t="shared" si="7"/>
        <v>32586.82</v>
      </c>
      <c r="M13" s="59">
        <f t="shared" si="7"/>
        <v>28449.84</v>
      </c>
      <c r="N13" s="59">
        <f t="shared" si="7"/>
        <v>38768.559529999999</v>
      </c>
      <c r="O13" s="59">
        <f t="shared" si="7"/>
        <v>34937.80848</v>
      </c>
      <c r="P13" s="59">
        <f t="shared" si="7"/>
        <v>72103.39</v>
      </c>
      <c r="Q13" s="59">
        <f t="shared" si="7"/>
        <v>57623.14</v>
      </c>
      <c r="R13" s="59">
        <f t="shared" si="7"/>
        <v>16721.249</v>
      </c>
      <c r="S13" s="59">
        <f t="shared" si="7"/>
        <v>0</v>
      </c>
      <c r="T13" s="59">
        <f t="shared" si="7"/>
        <v>17932.441999999999</v>
      </c>
      <c r="U13" s="59">
        <f t="shared" si="7"/>
        <v>0</v>
      </c>
      <c r="V13" s="59">
        <f t="shared" si="7"/>
        <v>14772.955</v>
      </c>
      <c r="W13" s="59">
        <f t="shared" si="7"/>
        <v>0</v>
      </c>
      <c r="X13" s="59">
        <f t="shared" si="7"/>
        <v>14352.537</v>
      </c>
      <c r="Y13" s="59">
        <f t="shared" si="7"/>
        <v>0</v>
      </c>
      <c r="Z13" s="59">
        <f t="shared" si="7"/>
        <v>15142.512999999999</v>
      </c>
      <c r="AA13" s="59">
        <f t="shared" si="7"/>
        <v>0</v>
      </c>
      <c r="AB13" s="59">
        <f t="shared" si="7"/>
        <v>52926.582999999999</v>
      </c>
      <c r="AC13" s="59">
        <f t="shared" si="7"/>
        <v>0</v>
      </c>
      <c r="AD13" s="59">
        <f t="shared" si="7"/>
        <v>8887.6759999999995</v>
      </c>
      <c r="AE13" s="59">
        <f t="shared" si="7"/>
        <v>0</v>
      </c>
      <c r="AF13" s="59">
        <f t="shared" si="7"/>
        <v>8000.4980000000005</v>
      </c>
      <c r="AG13" s="59">
        <f t="shared" si="7"/>
        <v>0</v>
      </c>
      <c r="AH13" s="144" t="s">
        <v>358</v>
      </c>
      <c r="AI13" s="23"/>
    </row>
    <row r="14" spans="1:35" s="315" customFormat="1" ht="66" customHeight="1" x14ac:dyDescent="0.25">
      <c r="A14" s="414"/>
      <c r="B14" s="362"/>
      <c r="C14" s="301" t="s">
        <v>21</v>
      </c>
      <c r="D14" s="302">
        <f>SUM(J14,L14,N14,P14,R14,T14,V14,X14,Z14,AB14,AD14,AF14)</f>
        <v>307534.23953000002</v>
      </c>
      <c r="E14" s="302">
        <f>J14+L14+N14</f>
        <v>90343.649529999995</v>
      </c>
      <c r="F14" s="316">
        <f>K14+M14+O14</f>
        <v>77708.915479999996</v>
      </c>
      <c r="G14" s="302">
        <f>SUM(K14,M14,O14,Q14,S14,U14,W14,Y14,AA14,AC14,AE14,AG14)</f>
        <v>135177.58548000001</v>
      </c>
      <c r="H14" s="302">
        <f>IFERROR(G14/D14*100,0)</f>
        <v>43.955296062835117</v>
      </c>
      <c r="I14" s="302">
        <f>IFERROR(G14/E14*100,0)</f>
        <v>149.6259960531174</v>
      </c>
      <c r="J14" s="303">
        <v>19745.810000000001</v>
      </c>
      <c r="K14" s="303">
        <v>14412.807000000001</v>
      </c>
      <c r="L14" s="303">
        <v>32146.23</v>
      </c>
      <c r="M14" s="312">
        <v>28374.98</v>
      </c>
      <c r="N14" s="303">
        <v>38451.609530000002</v>
      </c>
      <c r="O14" s="312">
        <v>34921.128479999999</v>
      </c>
      <c r="P14" s="303">
        <v>71688.37</v>
      </c>
      <c r="Q14" s="303">
        <v>57468.67</v>
      </c>
      <c r="R14" s="303">
        <v>16344.16</v>
      </c>
      <c r="S14" s="303">
        <v>0</v>
      </c>
      <c r="T14" s="303">
        <v>17475.849999999999</v>
      </c>
      <c r="U14" s="303">
        <v>0</v>
      </c>
      <c r="V14" s="303">
        <v>14275.58</v>
      </c>
      <c r="W14" s="303">
        <v>0</v>
      </c>
      <c r="X14" s="303">
        <v>13773.47</v>
      </c>
      <c r="Y14" s="303">
        <v>0</v>
      </c>
      <c r="Z14" s="303">
        <v>14789.98</v>
      </c>
      <c r="AA14" s="303">
        <v>0</v>
      </c>
      <c r="AB14" s="303">
        <v>52623.99</v>
      </c>
      <c r="AC14" s="303">
        <v>0</v>
      </c>
      <c r="AD14" s="303">
        <v>8570.76</v>
      </c>
      <c r="AE14" s="303">
        <v>0</v>
      </c>
      <c r="AF14" s="303">
        <v>7648.43</v>
      </c>
      <c r="AG14" s="303">
        <v>0</v>
      </c>
      <c r="AH14" s="313"/>
      <c r="AI14" s="314"/>
    </row>
    <row r="15" spans="1:35" s="22" customFormat="1" ht="58.5" customHeight="1" x14ac:dyDescent="0.25">
      <c r="A15" s="415"/>
      <c r="B15" s="363"/>
      <c r="C15" s="61" t="s">
        <v>40</v>
      </c>
      <c r="D15" s="62">
        <f>SUM(J15,L15,N15,P15,R15,T15,V15,X15,Z15,AB15,AD15,AF15)</f>
        <v>4812.0029999999997</v>
      </c>
      <c r="E15" s="62">
        <f>J15+L15+N15+P15</f>
        <v>1577.77</v>
      </c>
      <c r="F15" s="317">
        <f>E15</f>
        <v>1577.77</v>
      </c>
      <c r="G15" s="62">
        <f>SUM(K15,M15,O15,Q15,S15,U15,W15,Y15,AA15,AC15,AE15,AG15)</f>
        <v>341.28999999999996</v>
      </c>
      <c r="H15" s="62">
        <f>IFERROR(G15/D15*100,0)</f>
        <v>7.0924727187410319</v>
      </c>
      <c r="I15" s="62">
        <f>IFERROR(G15/E15*100,0)</f>
        <v>21.631162970521682</v>
      </c>
      <c r="J15" s="67">
        <v>405.21</v>
      </c>
      <c r="K15" s="63">
        <v>95.28</v>
      </c>
      <c r="L15" s="63">
        <v>440.59</v>
      </c>
      <c r="M15" s="63">
        <v>74.86</v>
      </c>
      <c r="N15" s="63">
        <v>316.95</v>
      </c>
      <c r="O15" s="63">
        <v>16.68</v>
      </c>
      <c r="P15" s="63">
        <v>415.02</v>
      </c>
      <c r="Q15" s="63">
        <v>154.47</v>
      </c>
      <c r="R15" s="63">
        <v>377.0889999999996</v>
      </c>
      <c r="S15" s="63">
        <v>0</v>
      </c>
      <c r="T15" s="63">
        <v>456.59200000000021</v>
      </c>
      <c r="U15" s="63">
        <v>0</v>
      </c>
      <c r="V15" s="63">
        <v>497.375</v>
      </c>
      <c r="W15" s="63">
        <v>0</v>
      </c>
      <c r="X15" s="63">
        <v>579.06700000000012</v>
      </c>
      <c r="Y15" s="63">
        <v>0</v>
      </c>
      <c r="Z15" s="63">
        <v>352.53300000000002</v>
      </c>
      <c r="AA15" s="63">
        <v>0</v>
      </c>
      <c r="AB15" s="63">
        <v>302.59300000000007</v>
      </c>
      <c r="AC15" s="63">
        <v>0</v>
      </c>
      <c r="AD15" s="63">
        <v>316.916</v>
      </c>
      <c r="AE15" s="63">
        <v>0</v>
      </c>
      <c r="AF15" s="63">
        <v>352.06800000000032</v>
      </c>
      <c r="AG15" s="63">
        <v>0</v>
      </c>
      <c r="AH15" s="336"/>
      <c r="AI15" s="20"/>
    </row>
    <row r="16" spans="1:35" s="18" customFormat="1" ht="21" customHeight="1" x14ac:dyDescent="0.25">
      <c r="A16" s="68"/>
      <c r="B16" s="370" t="s">
        <v>42</v>
      </c>
      <c r="C16" s="371"/>
      <c r="D16" s="371"/>
      <c r="E16" s="371"/>
      <c r="F16" s="371"/>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c r="AF16" s="371"/>
      <c r="AG16" s="372"/>
      <c r="AH16" s="46"/>
      <c r="AI16" s="19"/>
    </row>
    <row r="17" spans="1:35" s="21" customFormat="1" ht="82.5" customHeight="1" x14ac:dyDescent="0.25">
      <c r="A17" s="413" t="s">
        <v>38</v>
      </c>
      <c r="B17" s="361" t="s">
        <v>44</v>
      </c>
      <c r="C17" s="57" t="s">
        <v>20</v>
      </c>
      <c r="D17" s="58">
        <f>SUM(J17,L17,N17,P17,R17,T17,V17,X17,Z17,AB17,AD17,AF17)</f>
        <v>15386.899999999998</v>
      </c>
      <c r="E17" s="58">
        <f t="shared" ref="E17:G17" si="8">E18+E19</f>
        <v>4034.0000000000005</v>
      </c>
      <c r="F17" s="58">
        <f t="shared" si="8"/>
        <v>2673.8500000000004</v>
      </c>
      <c r="G17" s="58">
        <f t="shared" si="8"/>
        <v>2673.8500000000004</v>
      </c>
      <c r="H17" s="58">
        <f>IFERROR(G17/D17*100,0)</f>
        <v>17.377444449499254</v>
      </c>
      <c r="I17" s="58">
        <f>IFERROR(G17/E17*100,0)</f>
        <v>66.282845810609814</v>
      </c>
      <c r="J17" s="59">
        <f>J18+J19</f>
        <v>300</v>
      </c>
      <c r="K17" s="59">
        <f t="shared" ref="K17:AG17" si="9">K18+K19</f>
        <v>0</v>
      </c>
      <c r="L17" s="59">
        <f t="shared" si="9"/>
        <v>1205.1500000000001</v>
      </c>
      <c r="M17" s="59">
        <f t="shared" si="9"/>
        <v>1505.15</v>
      </c>
      <c r="N17" s="59">
        <f t="shared" si="9"/>
        <v>1168.7</v>
      </c>
      <c r="O17" s="59">
        <f t="shared" si="9"/>
        <v>1168.7</v>
      </c>
      <c r="P17" s="59">
        <f t="shared" si="9"/>
        <v>2360.15</v>
      </c>
      <c r="Q17" s="59">
        <f t="shared" si="9"/>
        <v>0</v>
      </c>
      <c r="R17" s="59">
        <f t="shared" si="9"/>
        <v>2402.9695000000002</v>
      </c>
      <c r="S17" s="59">
        <f t="shared" si="9"/>
        <v>0</v>
      </c>
      <c r="T17" s="59">
        <f t="shared" si="9"/>
        <v>2059.3195000000001</v>
      </c>
      <c r="U17" s="59">
        <f t="shared" si="9"/>
        <v>0</v>
      </c>
      <c r="V17" s="59">
        <f t="shared" si="9"/>
        <v>1002.9695</v>
      </c>
      <c r="W17" s="59">
        <f t="shared" si="9"/>
        <v>0</v>
      </c>
      <c r="X17" s="59">
        <f t="shared" si="9"/>
        <v>1002.9695</v>
      </c>
      <c r="Y17" s="59">
        <f t="shared" si="9"/>
        <v>0</v>
      </c>
      <c r="Z17" s="59">
        <f t="shared" si="9"/>
        <v>1002.9695</v>
      </c>
      <c r="AA17" s="59">
        <f t="shared" si="9"/>
        <v>0</v>
      </c>
      <c r="AB17" s="59">
        <f t="shared" si="9"/>
        <v>2872.7939999999999</v>
      </c>
      <c r="AC17" s="59">
        <f t="shared" si="9"/>
        <v>0</v>
      </c>
      <c r="AD17" s="59">
        <f t="shared" si="9"/>
        <v>2.9695</v>
      </c>
      <c r="AE17" s="59">
        <f t="shared" si="9"/>
        <v>0</v>
      </c>
      <c r="AF17" s="59">
        <f t="shared" si="9"/>
        <v>5.9390000000000001</v>
      </c>
      <c r="AG17" s="59">
        <f t="shared" si="9"/>
        <v>0</v>
      </c>
      <c r="AH17" s="145" t="s">
        <v>354</v>
      </c>
      <c r="AI17" s="20"/>
    </row>
    <row r="18" spans="1:35" s="331" customFormat="1" ht="82.5" customHeight="1" x14ac:dyDescent="0.25">
      <c r="A18" s="414"/>
      <c r="B18" s="362"/>
      <c r="C18" s="301" t="s">
        <v>22</v>
      </c>
      <c r="D18" s="302">
        <f>SUM(J18,L18,N18,P18,R18,T18,V18,X18,Z18,AB18,AD18,AF18)</f>
        <v>5242.2000000000016</v>
      </c>
      <c r="E18" s="302">
        <f>J18+L18+N18+P18</f>
        <v>1793.65</v>
      </c>
      <c r="F18" s="302">
        <f>G18</f>
        <v>433.5</v>
      </c>
      <c r="G18" s="302">
        <f>SUM(K18,M18,O18,Q18,S18,U18,W18,Y18,AA18,AC18,AE18,AG18)</f>
        <v>433.5</v>
      </c>
      <c r="H18" s="302">
        <f>IFERROR(G18/D18*100,0)</f>
        <v>8.2694288657433876</v>
      </c>
      <c r="I18" s="302">
        <f>IFERROR(G18/E18*100,0)</f>
        <v>24.168594764864938</v>
      </c>
      <c r="J18" s="332">
        <v>300</v>
      </c>
      <c r="K18" s="332"/>
      <c r="L18" s="303">
        <v>133.5</v>
      </c>
      <c r="M18" s="303">
        <v>433.5</v>
      </c>
      <c r="N18" s="303"/>
      <c r="O18" s="303"/>
      <c r="P18" s="303">
        <f>1360150/1000</f>
        <v>1360.15</v>
      </c>
      <c r="Q18" s="303"/>
      <c r="R18" s="303">
        <f>1402969.5/1000</f>
        <v>1402.9694999999999</v>
      </c>
      <c r="S18" s="303"/>
      <c r="T18" s="303">
        <f>1059319.5/1000</f>
        <v>1059.3195000000001</v>
      </c>
      <c r="U18" s="303"/>
      <c r="V18" s="303">
        <f>2969.5/1000</f>
        <v>2.9695</v>
      </c>
      <c r="W18" s="303"/>
      <c r="X18" s="303">
        <f>2969.5/1000</f>
        <v>2.9695</v>
      </c>
      <c r="Y18" s="303"/>
      <c r="Z18" s="303">
        <f>2969.5/1000</f>
        <v>2.9695</v>
      </c>
      <c r="AA18" s="303"/>
      <c r="AB18" s="303">
        <f>968444/1000</f>
        <v>968.44399999999996</v>
      </c>
      <c r="AC18" s="303"/>
      <c r="AD18" s="303">
        <f>2969.5/1000</f>
        <v>2.9695</v>
      </c>
      <c r="AE18" s="303"/>
      <c r="AF18" s="303">
        <f>5939/1000</f>
        <v>5.9390000000000001</v>
      </c>
      <c r="AG18" s="303"/>
      <c r="AH18" s="304"/>
      <c r="AI18" s="330"/>
    </row>
    <row r="19" spans="1:35" s="306" customFormat="1" ht="92.25" customHeight="1" x14ac:dyDescent="0.25">
      <c r="A19" s="415"/>
      <c r="B19" s="363"/>
      <c r="C19" s="301" t="s">
        <v>21</v>
      </c>
      <c r="D19" s="302">
        <f>SUM(J19,L19,N19,P19,R19,T19,V19,X19,Z19,AB19,AD19,AF19)</f>
        <v>10144.700000000001</v>
      </c>
      <c r="E19" s="302">
        <f t="shared" ref="E19" si="10">J19+L19+N19</f>
        <v>2240.3500000000004</v>
      </c>
      <c r="F19" s="302">
        <f>G19</f>
        <v>2240.3500000000004</v>
      </c>
      <c r="G19" s="302">
        <f>SUM(K19,M19,O19,Q19,S19,U19,W19,Y19,AA19,AC19,AE19,AG19)</f>
        <v>2240.3500000000004</v>
      </c>
      <c r="H19" s="302">
        <f>IFERROR(G19/D19*100,0)</f>
        <v>22.083945311344841</v>
      </c>
      <c r="I19" s="302">
        <f>IFERROR(G19/E19*100,0)</f>
        <v>100</v>
      </c>
      <c r="J19" s="303">
        <v>0</v>
      </c>
      <c r="K19" s="303">
        <v>0</v>
      </c>
      <c r="L19" s="303">
        <v>1071.6500000000001</v>
      </c>
      <c r="M19" s="303">
        <v>1071.6500000000001</v>
      </c>
      <c r="N19" s="303">
        <v>1168.7</v>
      </c>
      <c r="O19" s="303">
        <v>1168.7</v>
      </c>
      <c r="P19" s="303">
        <v>1000</v>
      </c>
      <c r="Q19" s="303"/>
      <c r="R19" s="303">
        <v>1000</v>
      </c>
      <c r="S19" s="303"/>
      <c r="T19" s="303">
        <v>1000</v>
      </c>
      <c r="U19" s="303"/>
      <c r="V19" s="303">
        <v>1000</v>
      </c>
      <c r="W19" s="303"/>
      <c r="X19" s="303">
        <v>1000</v>
      </c>
      <c r="Y19" s="303"/>
      <c r="Z19" s="303">
        <v>1000</v>
      </c>
      <c r="AA19" s="303"/>
      <c r="AB19" s="303">
        <v>1904.35</v>
      </c>
      <c r="AC19" s="303"/>
      <c r="AD19" s="303">
        <v>0</v>
      </c>
      <c r="AE19" s="303"/>
      <c r="AF19" s="303"/>
      <c r="AG19" s="303"/>
      <c r="AH19" s="304"/>
      <c r="AI19" s="305"/>
    </row>
  </sheetData>
  <customSheetViews>
    <customSheetView guid="{2940A182-D1A7-43C5-8D6E-965BED4371B0}" scale="80" state="hidden">
      <pane xSplit="6" ySplit="7" topLeftCell="G8" activePane="bottomRight" state="frozen"/>
      <selection pane="bottomRight" activeCell="J26" sqref="J26"/>
      <pageMargins left="0.7" right="0.7" top="0.75" bottom="0.75" header="0.3" footer="0.3"/>
    </customSheetView>
    <customSheetView guid="{BBF6B43F-E0FC-43DF-B91C-674F6AB4B556}" scale="80">
      <pane xSplit="6" ySplit="7" topLeftCell="G8" activePane="bottomRight" state="frozen"/>
      <selection pane="bottomRight" activeCell="J26" sqref="J26"/>
      <pageMargins left="0.7" right="0.7" top="0.75" bottom="0.75" header="0.3" footer="0.3"/>
    </customSheetView>
    <customSheetView guid="{30B635D9-57DB-47D5-8A0F-4B30DD769960}" scale="80">
      <pane xSplit="6" ySplit="7" topLeftCell="G8" activePane="bottomRight" state="frozen"/>
      <selection pane="bottomRight" activeCell="J26" sqref="J26"/>
      <pageMargins left="0.7" right="0.7" top="0.75" bottom="0.75" header="0.3" footer="0.3"/>
    </customSheetView>
    <customSheetView guid="{DAEDC989-02E7-4319-8354-59410ACF3F1F}" scale="80">
      <pane xSplit="6" ySplit="7" topLeftCell="U8" activePane="bottomRight" state="frozen"/>
      <selection pane="bottomRight" activeCell="AH13" sqref="AH13"/>
      <pageMargins left="0.7" right="0.7" top="0.75" bottom="0.75" header="0.3" footer="0.3"/>
      <pageSetup paperSize="9" orientation="portrait" r:id="rId1"/>
    </customSheetView>
    <customSheetView guid="{21E1D423-7B38-4272-8354-09B4DB62C9EB}" scale="80">
      <pane xSplit="6" ySplit="7" topLeftCell="G8" activePane="bottomRight" state="frozen"/>
      <selection pane="bottomRight" activeCell="J26" sqref="J26"/>
      <pageMargins left="0.7" right="0.7" top="0.75" bottom="0.75" header="0.3" footer="0.3"/>
    </customSheetView>
    <customSheetView guid="{EA46B61D-849C-4795-A4FF-F8F1740022EB}" scale="80">
      <pane xSplit="6" ySplit="7" topLeftCell="G8" activePane="bottomRight" state="frozen"/>
      <selection pane="bottomRight" activeCell="J26" sqref="J26"/>
      <pageMargins left="0.7" right="0.7" top="0.75" bottom="0.75" header="0.3" footer="0.3"/>
    </customSheetView>
    <customSheetView guid="{A0E2FBF6-E560-4343-8BE6-217DC798135B}" scale="80">
      <pane xSplit="6" ySplit="7" topLeftCell="G8" activePane="bottomRight" state="frozen"/>
      <selection pane="bottomRight" activeCell="J26" sqref="J26"/>
      <pageMargins left="0.7" right="0.7" top="0.75" bottom="0.75" header="0.3" footer="0.3"/>
    </customSheetView>
    <customSheetView guid="{20A05A62-CBE8-4538-BBC3-2AD9D3B8FAC0}" scale="80">
      <pane xSplit="6" ySplit="7" topLeftCell="G8" activePane="bottomRight" state="frozen"/>
      <selection pane="bottomRight" activeCell="J26" sqref="J26"/>
      <pageMargins left="0.7" right="0.7" top="0.75" bottom="0.75" header="0.3" footer="0.3"/>
    </customSheetView>
    <customSheetView guid="{A4AF2100-C59D-4F60-9EAB-56D9103463F7}" scale="80">
      <pane xSplit="6" ySplit="7" topLeftCell="G8" activePane="bottomRight" state="frozen"/>
      <selection pane="bottomRight" activeCell="J26" sqref="J26"/>
      <pageMargins left="0.7" right="0.7" top="0.75" bottom="0.75" header="0.3" footer="0.3"/>
    </customSheetView>
    <customSheetView guid="{AB9978E4-895D-4050-8F07-2484E22632D1}" scale="80">
      <pane xSplit="6" ySplit="7" topLeftCell="G8" activePane="bottomRight" state="frozen"/>
      <selection pane="bottomRight" activeCell="J26" sqref="J26"/>
      <pageMargins left="0.7" right="0.7" top="0.75" bottom="0.75" header="0.3" footer="0.3"/>
    </customSheetView>
    <customSheetView guid="{519948E4-0B24-465F-9D9E-44BE50D1D647}" scale="80">
      <pane xSplit="6" ySplit="7" topLeftCell="G8" activePane="bottomRight" state="frozen"/>
      <selection pane="bottomRight" activeCell="J26" sqref="J26"/>
      <pageMargins left="0.7" right="0.7" top="0.75" bottom="0.75" header="0.3" footer="0.3"/>
    </customSheetView>
    <customSheetView guid="{C7DC638A-7F60-46C9-A1FB-9ADEAE87F332}" scale="80">
      <pane xSplit="6" ySplit="7" topLeftCell="G8" activePane="bottomRight" state="frozen"/>
      <selection pane="bottomRight" activeCell="J26" sqref="J26"/>
      <pageMargins left="0.7" right="0.7" top="0.75" bottom="0.75" header="0.3" footer="0.3"/>
    </customSheetView>
    <customSheetView guid="{2A5A11D4-90C6-4A3E-8165-7D7BD634B22F}" scale="80">
      <pane xSplit="6" ySplit="7" topLeftCell="G8" activePane="bottomRight" state="frozen"/>
      <selection pane="bottomRight" activeCell="J26" sqref="J26"/>
      <pageMargins left="0.7" right="0.7" top="0.75" bottom="0.75" header="0.3" footer="0.3"/>
    </customSheetView>
    <customSheetView guid="{562453CE-35F5-40A3-AD14-6399D1197C99}" scale="80">
      <pane xSplit="6" ySplit="7" topLeftCell="U14" activePane="bottomRight" state="frozen"/>
      <selection pane="bottomRight" activeCell="AH13" sqref="AH13"/>
      <pageMargins left="0.7" right="0.7" top="0.75" bottom="0.75" header="0.3" footer="0.3"/>
      <pageSetup paperSize="9" orientation="portrait" r:id="rId2"/>
    </customSheetView>
    <customSheetView guid="{B6B60ED6-A6CC-4DA7-A8CA-5E6DB52D5A87}" scale="80">
      <pane xSplit="6" ySplit="7" topLeftCell="G14" activePane="bottomRight" state="frozen"/>
      <selection pane="bottomRight" activeCell="G22" sqref="G22"/>
      <pageMargins left="0.7" right="0.7" top="0.75" bottom="0.75" header="0.3" footer="0.3"/>
      <pageSetup paperSize="9" orientation="portrait" r:id="rId3"/>
    </customSheetView>
    <customSheetView guid="{133BB3F8-8DD4-4AEF-8CD6-A5FB14681329}" scale="80">
      <pane xSplit="6" ySplit="7" topLeftCell="G8" activePane="bottomRight" state="frozen"/>
      <selection pane="bottomRight" activeCell="J26" sqref="J26"/>
      <pageMargins left="0.7" right="0.7" top="0.75" bottom="0.75" header="0.3" footer="0.3"/>
    </customSheetView>
    <customSheetView guid="{5DF2C78B-5EE4-439D-8D72-8D3A913B65F9}" scale="80">
      <pane xSplit="6" ySplit="7" topLeftCell="G8" activePane="bottomRight" state="frozen"/>
      <selection pane="bottomRight" activeCell="J26" sqref="J26"/>
      <pageMargins left="0.7" right="0.7" top="0.75" bottom="0.75" header="0.3" footer="0.3"/>
    </customSheetView>
    <customSheetView guid="{60A1F930-4BEC-460A-8E14-01E47F6DD055}" scale="80">
      <pane xSplit="6" ySplit="7" topLeftCell="G8" activePane="bottomRight" state="frozen"/>
      <selection pane="bottomRight" activeCell="J26" sqref="J26"/>
      <pageMargins left="0.7" right="0.7" top="0.75" bottom="0.75" header="0.3" footer="0.3"/>
    </customSheetView>
    <customSheetView guid="{7C5A2A36-3D69-43D9-9018-A52C27EC78F9}" scale="80">
      <pane xSplit="6" ySplit="7" topLeftCell="G8" activePane="bottomRight" state="frozen"/>
      <selection pane="bottomRight" activeCell="J26" sqref="J26"/>
      <pageMargins left="0.7" right="0.7" top="0.75" bottom="0.75" header="0.3" footer="0.3"/>
    </customSheetView>
    <customSheetView guid="{C282AA4E-1BB5-4296-9AC6-844C0F88E5FC}" scale="80">
      <pane xSplit="6" ySplit="7" topLeftCell="G8" activePane="bottomRight" state="frozen"/>
      <selection pane="bottomRight" activeCell="J26" sqref="J26"/>
      <pageMargins left="0.7" right="0.7" top="0.75" bottom="0.75" header="0.3" footer="0.3"/>
    </customSheetView>
    <customSheetView guid="{996EC2F0-F6EC-4E63-A83E-34865157BD8D}" scale="80">
      <pane xSplit="6" ySplit="7" topLeftCell="G8" activePane="bottomRight" state="frozen"/>
      <selection pane="bottomRight" activeCell="J26" sqref="J26"/>
      <pageMargins left="0.7" right="0.7" top="0.75" bottom="0.75" header="0.3" footer="0.3"/>
    </customSheetView>
    <customSheetView guid="{AFADB96A-0516-43C1-9F1B-0604F3CAC04A}" scale="80">
      <pane xSplit="6" ySplit="7" topLeftCell="G8" activePane="bottomRight" state="frozen"/>
      <selection pane="bottomRight" activeCell="J26" sqref="J26"/>
      <pageMargins left="0.7" right="0.7" top="0.75" bottom="0.75" header="0.3" footer="0.3"/>
    </customSheetView>
  </customSheetViews>
  <mergeCells count="31">
    <mergeCell ref="T4:U5"/>
    <mergeCell ref="B16:AG16"/>
    <mergeCell ref="A17:A19"/>
    <mergeCell ref="B17:B19"/>
    <mergeCell ref="AH4:AH6"/>
    <mergeCell ref="B12:AG12"/>
    <mergeCell ref="A13:A15"/>
    <mergeCell ref="B13:B15"/>
    <mergeCell ref="B8:B11"/>
    <mergeCell ref="A8:A11"/>
    <mergeCell ref="V4:W5"/>
    <mergeCell ref="X4:Y5"/>
    <mergeCell ref="Z4:AA5"/>
    <mergeCell ref="AB4:AC5"/>
    <mergeCell ref="AD4:AE5"/>
    <mergeCell ref="AF4:AG5"/>
    <mergeCell ref="C2:S2"/>
    <mergeCell ref="C3:S3"/>
    <mergeCell ref="A4:A6"/>
    <mergeCell ref="B4:B6"/>
    <mergeCell ref="C4:C6"/>
    <mergeCell ref="D4:D5"/>
    <mergeCell ref="E4:E5"/>
    <mergeCell ref="F4:F5"/>
    <mergeCell ref="G4:G5"/>
    <mergeCell ref="H4:I5"/>
    <mergeCell ref="L4:M5"/>
    <mergeCell ref="N4:O5"/>
    <mergeCell ref="P4:Q5"/>
    <mergeCell ref="R4:S5"/>
    <mergeCell ref="J4:K5"/>
  </mergeCells>
  <pageMargins left="0.7" right="0.7" top="0.75" bottom="0.75" header="0.3" footer="0.3"/>
  <legacy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22"/>
  <sheetViews>
    <sheetView zoomScale="90" zoomScaleNormal="90" workbookViewId="0">
      <pane xSplit="6" ySplit="7" topLeftCell="G8" activePane="bottomRight" state="frozen"/>
      <selection pane="topRight" activeCell="G1" sqref="G1"/>
      <selection pane="bottomLeft" activeCell="A8" sqref="A8"/>
      <selection pane="bottomRight" activeCell="K23" sqref="K23"/>
    </sheetView>
  </sheetViews>
  <sheetFormatPr defaultColWidth="9.140625" defaultRowHeight="15.75" x14ac:dyDescent="0.25"/>
  <cols>
    <col min="1" max="1" width="6.5703125" style="53" customWidth="1"/>
    <col min="2" max="2" width="42.7109375" style="53" customWidth="1"/>
    <col min="3" max="3" width="18.5703125" style="54" customWidth="1"/>
    <col min="4" max="4" width="18" style="53" customWidth="1"/>
    <col min="5" max="5" width="14.7109375" style="53" customWidth="1"/>
    <col min="6" max="6" width="15" style="53" customWidth="1"/>
    <col min="7" max="7" width="13.85546875" style="53" customWidth="1"/>
    <col min="8" max="8" width="12.140625" style="53" customWidth="1"/>
    <col min="9" max="9" width="10.85546875" style="53" customWidth="1"/>
    <col min="10" max="10" width="14.28515625" style="53" customWidth="1"/>
    <col min="11" max="11" width="13.5703125" style="53" customWidth="1"/>
    <col min="12" max="12" width="13.85546875" style="53" customWidth="1"/>
    <col min="13" max="13" width="13" style="53" customWidth="1"/>
    <col min="14" max="14" width="13.42578125" style="53" customWidth="1"/>
    <col min="15" max="15" width="11.5703125" style="53" customWidth="1"/>
    <col min="16" max="16" width="13.42578125" style="53" customWidth="1"/>
    <col min="17" max="17" width="11.5703125" style="53" customWidth="1"/>
    <col min="18" max="18" width="13" style="53" customWidth="1"/>
    <col min="19" max="19" width="11.5703125" style="53" customWidth="1"/>
    <col min="20" max="20" width="13" style="53" customWidth="1"/>
    <col min="21" max="21" width="11.5703125" style="53" customWidth="1"/>
    <col min="22" max="22" width="14.28515625" style="53" customWidth="1"/>
    <col min="23" max="23" width="11.5703125" style="53" customWidth="1"/>
    <col min="24" max="24" width="13.5703125" style="53" customWidth="1"/>
    <col min="25" max="25" width="11.5703125" style="53" customWidth="1"/>
    <col min="26" max="26" width="16.140625" style="53" customWidth="1"/>
    <col min="27" max="27" width="11.5703125" style="53" customWidth="1"/>
    <col min="28" max="28" width="14.85546875" style="53" customWidth="1"/>
    <col min="29" max="29" width="11.5703125" style="53" customWidth="1"/>
    <col min="30" max="30" width="13.42578125" style="53" customWidth="1"/>
    <col min="31" max="33" width="11.5703125" style="53" customWidth="1"/>
    <col min="34" max="34" width="38.5703125" style="53" customWidth="1"/>
    <col min="35" max="16384" width="9.140625" style="53"/>
  </cols>
  <sheetData>
    <row r="1" spans="1:35" s="33" customFormat="1" ht="23.25" customHeight="1" x14ac:dyDescent="0.25">
      <c r="C1" s="12"/>
      <c r="D1" s="13"/>
      <c r="E1" s="13"/>
      <c r="F1" s="13"/>
      <c r="G1" s="13"/>
      <c r="H1" s="13"/>
      <c r="I1" s="13"/>
      <c r="J1" s="4"/>
      <c r="K1" s="4"/>
      <c r="L1" s="4"/>
      <c r="M1" s="4"/>
      <c r="N1" s="4"/>
      <c r="O1" s="4"/>
      <c r="P1" s="4"/>
      <c r="Q1" s="4"/>
      <c r="R1" s="4"/>
      <c r="S1" s="4"/>
      <c r="T1" s="4"/>
      <c r="U1" s="4"/>
      <c r="V1" s="14"/>
      <c r="W1" s="14"/>
      <c r="X1" s="14"/>
      <c r="Y1" s="14"/>
      <c r="Z1" s="14"/>
      <c r="AA1" s="14"/>
      <c r="AB1" s="14"/>
      <c r="AC1" s="14"/>
      <c r="AD1" s="34"/>
      <c r="AE1" s="34"/>
      <c r="AF1" s="34"/>
      <c r="AG1" s="4"/>
      <c r="AH1" s="4"/>
    </row>
    <row r="2" spans="1:35" s="33" customFormat="1" x14ac:dyDescent="0.25">
      <c r="C2" s="346" t="s">
        <v>24</v>
      </c>
      <c r="D2" s="346"/>
      <c r="E2" s="346"/>
      <c r="F2" s="346"/>
      <c r="G2" s="346"/>
      <c r="H2" s="346"/>
      <c r="I2" s="346"/>
      <c r="J2" s="346"/>
      <c r="K2" s="346"/>
      <c r="L2" s="346"/>
      <c r="M2" s="346"/>
      <c r="N2" s="346"/>
      <c r="O2" s="346"/>
      <c r="P2" s="346"/>
      <c r="Q2" s="346"/>
      <c r="R2" s="346"/>
      <c r="S2" s="346"/>
      <c r="T2" s="35"/>
      <c r="U2" s="35"/>
      <c r="V2" s="35"/>
      <c r="W2" s="35"/>
      <c r="X2" s="35"/>
      <c r="Y2" s="35"/>
      <c r="Z2" s="35"/>
      <c r="AA2" s="35"/>
      <c r="AB2" s="35"/>
      <c r="AC2" s="35"/>
      <c r="AD2" s="35"/>
      <c r="AE2" s="35"/>
      <c r="AF2" s="35"/>
      <c r="AG2" s="35"/>
      <c r="AH2" s="35"/>
    </row>
    <row r="3" spans="1:35" s="33" customFormat="1" ht="24" customHeight="1" x14ac:dyDescent="0.25">
      <c r="C3" s="347" t="s">
        <v>109</v>
      </c>
      <c r="D3" s="347"/>
      <c r="E3" s="347"/>
      <c r="F3" s="347"/>
      <c r="G3" s="347"/>
      <c r="H3" s="347"/>
      <c r="I3" s="347"/>
      <c r="J3" s="347"/>
      <c r="K3" s="347"/>
      <c r="L3" s="347"/>
      <c r="M3" s="347"/>
      <c r="N3" s="347"/>
      <c r="O3" s="347"/>
      <c r="P3" s="347"/>
      <c r="Q3" s="347"/>
      <c r="R3" s="347"/>
      <c r="S3" s="347"/>
      <c r="T3" s="36"/>
      <c r="U3" s="36"/>
      <c r="V3" s="36"/>
      <c r="W3" s="36"/>
      <c r="X3" s="36"/>
      <c r="Y3" s="36"/>
      <c r="Z3" s="36"/>
      <c r="AA3" s="36"/>
      <c r="AB3" s="36"/>
      <c r="AC3" s="36"/>
      <c r="AD3" s="37"/>
      <c r="AE3" s="37"/>
      <c r="AF3" s="37"/>
      <c r="AG3" s="37" t="s">
        <v>0</v>
      </c>
      <c r="AH3" s="37"/>
    </row>
    <row r="4" spans="1:35" s="33" customFormat="1" ht="15" customHeight="1" x14ac:dyDescent="0.25">
      <c r="A4" s="348" t="s">
        <v>26</v>
      </c>
      <c r="B4" s="351" t="s">
        <v>29</v>
      </c>
      <c r="C4" s="351" t="s">
        <v>30</v>
      </c>
      <c r="D4" s="359"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33" customFormat="1" ht="39" customHeight="1" x14ac:dyDescent="0.25">
      <c r="A5" s="349"/>
      <c r="B5" s="352"/>
      <c r="C5" s="352"/>
      <c r="D5" s="360"/>
      <c r="E5" s="360"/>
      <c r="F5" s="360"/>
      <c r="G5" s="360"/>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5" s="33" customFormat="1" ht="64.5" customHeight="1" x14ac:dyDescent="0.25">
      <c r="A6" s="350"/>
      <c r="B6" s="353"/>
      <c r="C6" s="353"/>
      <c r="D6" s="38">
        <v>2025</v>
      </c>
      <c r="E6" s="39">
        <v>45778</v>
      </c>
      <c r="F6" s="39">
        <v>45778</v>
      </c>
      <c r="G6" s="39">
        <v>45778</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41" customFormat="1" x14ac:dyDescent="0.25">
      <c r="A7" s="40">
        <v>1</v>
      </c>
      <c r="B7" s="40">
        <v>2</v>
      </c>
      <c r="C7" s="40">
        <v>3</v>
      </c>
      <c r="D7" s="40">
        <v>4</v>
      </c>
      <c r="E7" s="40">
        <v>5</v>
      </c>
      <c r="F7" s="40">
        <v>6</v>
      </c>
      <c r="G7" s="40">
        <v>7</v>
      </c>
      <c r="H7" s="40">
        <v>8</v>
      </c>
      <c r="I7" s="40">
        <v>9</v>
      </c>
      <c r="J7" s="40">
        <v>10</v>
      </c>
      <c r="K7" s="40">
        <v>11</v>
      </c>
      <c r="L7" s="40">
        <v>12</v>
      </c>
      <c r="M7" s="40">
        <v>13</v>
      </c>
      <c r="N7" s="40">
        <v>14</v>
      </c>
      <c r="O7" s="40">
        <v>15</v>
      </c>
      <c r="P7" s="40">
        <v>16</v>
      </c>
      <c r="Q7" s="40">
        <v>17</v>
      </c>
      <c r="R7" s="40">
        <v>18</v>
      </c>
      <c r="S7" s="40">
        <v>19</v>
      </c>
      <c r="T7" s="40">
        <v>20</v>
      </c>
      <c r="U7" s="40">
        <v>21</v>
      </c>
      <c r="V7" s="40">
        <v>22</v>
      </c>
      <c r="W7" s="40">
        <v>23</v>
      </c>
      <c r="X7" s="40">
        <v>24</v>
      </c>
      <c r="Y7" s="40">
        <v>25</v>
      </c>
      <c r="Z7" s="40">
        <v>26</v>
      </c>
      <c r="AA7" s="40">
        <v>27</v>
      </c>
      <c r="AB7" s="40">
        <v>28</v>
      </c>
      <c r="AC7" s="40">
        <v>29</v>
      </c>
      <c r="AD7" s="40">
        <v>30</v>
      </c>
      <c r="AE7" s="40">
        <v>31</v>
      </c>
      <c r="AF7" s="40">
        <v>32</v>
      </c>
      <c r="AG7" s="40">
        <v>33</v>
      </c>
      <c r="AH7" s="40">
        <v>34</v>
      </c>
    </row>
    <row r="8" spans="1:35" s="42" customFormat="1" ht="27" customHeight="1" x14ac:dyDescent="0.25">
      <c r="A8" s="402"/>
      <c r="B8" s="367" t="s">
        <v>23</v>
      </c>
      <c r="C8" s="69" t="s">
        <v>20</v>
      </c>
      <c r="D8" s="70">
        <f>D9+D10</f>
        <v>29798.3</v>
      </c>
      <c r="E8" s="70">
        <f t="shared" ref="E8:G8" si="0">E9+E10</f>
        <v>7606.9769999999999</v>
      </c>
      <c r="F8" s="70">
        <f t="shared" si="0"/>
        <v>6177.3209999999999</v>
      </c>
      <c r="G8" s="70">
        <f t="shared" si="0"/>
        <v>6177.3209999999999</v>
      </c>
      <c r="H8" s="70">
        <f>IFERROR(G8/D8*100,0)</f>
        <v>20.730447710104269</v>
      </c>
      <c r="I8" s="70">
        <f>IFERROR(G8/E8*100,0)</f>
        <v>81.205990237646304</v>
      </c>
      <c r="J8" s="71">
        <f>J9+J10</f>
        <v>2833.6880000000001</v>
      </c>
      <c r="K8" s="71">
        <f t="shared" ref="K8:AG8" si="1">K9+K10</f>
        <v>1404.721</v>
      </c>
      <c r="L8" s="71">
        <f t="shared" si="1"/>
        <v>1680.212</v>
      </c>
      <c r="M8" s="71">
        <f t="shared" si="1"/>
        <v>2087.2600000000002</v>
      </c>
      <c r="N8" s="71">
        <f t="shared" si="1"/>
        <v>1068.1030000000001</v>
      </c>
      <c r="O8" s="71">
        <f t="shared" si="1"/>
        <v>1354.24</v>
      </c>
      <c r="P8" s="71">
        <f t="shared" si="1"/>
        <v>2024.9739999999999</v>
      </c>
      <c r="Q8" s="71">
        <f t="shared" si="1"/>
        <v>1331.1</v>
      </c>
      <c r="R8" s="71">
        <f t="shared" si="1"/>
        <v>1527.9469999999999</v>
      </c>
      <c r="S8" s="71">
        <f t="shared" si="1"/>
        <v>0</v>
      </c>
      <c r="T8" s="71">
        <f t="shared" si="1"/>
        <v>8920.402</v>
      </c>
      <c r="U8" s="71">
        <f t="shared" si="1"/>
        <v>0</v>
      </c>
      <c r="V8" s="71">
        <f t="shared" si="1"/>
        <v>4624.9740000000002</v>
      </c>
      <c r="W8" s="71">
        <f t="shared" si="1"/>
        <v>0</v>
      </c>
      <c r="X8" s="71">
        <f t="shared" si="1"/>
        <v>1527.9469999999999</v>
      </c>
      <c r="Y8" s="71">
        <f t="shared" si="1"/>
        <v>0</v>
      </c>
      <c r="Z8" s="71">
        <f t="shared" si="1"/>
        <v>1127.702</v>
      </c>
      <c r="AA8" s="71">
        <f t="shared" si="1"/>
        <v>0</v>
      </c>
      <c r="AB8" s="71">
        <f t="shared" si="1"/>
        <v>1668.9380000000001</v>
      </c>
      <c r="AC8" s="71">
        <f t="shared" si="1"/>
        <v>0</v>
      </c>
      <c r="AD8" s="71">
        <f t="shared" si="1"/>
        <v>1420.425</v>
      </c>
      <c r="AE8" s="71">
        <f t="shared" si="1"/>
        <v>0</v>
      </c>
      <c r="AF8" s="71">
        <f t="shared" si="1"/>
        <v>1372.9880000000001</v>
      </c>
      <c r="AG8" s="71">
        <f t="shared" si="1"/>
        <v>0</v>
      </c>
      <c r="AH8" s="72"/>
    </row>
    <row r="9" spans="1:35" s="44" customFormat="1" ht="44.25" customHeight="1" x14ac:dyDescent="0.25">
      <c r="A9" s="416"/>
      <c r="B9" s="368"/>
      <c r="C9" s="73" t="s">
        <v>22</v>
      </c>
      <c r="D9" s="74">
        <f t="shared" ref="D9:D10" si="2">J9+L9+N9+P9+R9+T9+V9+X9+Z9+AB9+AD9+AF9</f>
        <v>4313.7</v>
      </c>
      <c r="E9" s="74">
        <f t="shared" ref="E9" si="3">J9</f>
        <v>0</v>
      </c>
      <c r="F9" s="74">
        <f t="shared" ref="F9:F10" si="4">G9</f>
        <v>0</v>
      </c>
      <c r="G9" s="74">
        <f t="shared" ref="G9:G10" si="5">K9+M9+O9+Q9+S9+U9+W9+Y9+AA9+AC9+AE9+AG9</f>
        <v>0</v>
      </c>
      <c r="H9" s="74">
        <f>IFERROR(G9/D9*100,0)</f>
        <v>0</v>
      </c>
      <c r="I9" s="74">
        <f>IFERROR(G9/E9*100,0)</f>
        <v>0</v>
      </c>
      <c r="J9" s="74">
        <f>J13</f>
        <v>0</v>
      </c>
      <c r="K9" s="74">
        <f t="shared" ref="K9:AG9" si="6">K13</f>
        <v>0</v>
      </c>
      <c r="L9" s="74">
        <f t="shared" si="6"/>
        <v>0</v>
      </c>
      <c r="M9" s="74">
        <f t="shared" si="6"/>
        <v>0</v>
      </c>
      <c r="N9" s="74">
        <f t="shared" si="6"/>
        <v>0</v>
      </c>
      <c r="O9" s="74">
        <f t="shared" si="6"/>
        <v>0</v>
      </c>
      <c r="P9" s="74">
        <f t="shared" si="6"/>
        <v>0</v>
      </c>
      <c r="Q9" s="74">
        <f t="shared" si="6"/>
        <v>0</v>
      </c>
      <c r="R9" s="74">
        <f t="shared" si="6"/>
        <v>0</v>
      </c>
      <c r="S9" s="74">
        <f t="shared" si="6"/>
        <v>0</v>
      </c>
      <c r="T9" s="74">
        <f t="shared" si="6"/>
        <v>4313.7</v>
      </c>
      <c r="U9" s="74">
        <f t="shared" si="6"/>
        <v>0</v>
      </c>
      <c r="V9" s="74">
        <f t="shared" si="6"/>
        <v>0</v>
      </c>
      <c r="W9" s="74">
        <f t="shared" si="6"/>
        <v>0</v>
      </c>
      <c r="X9" s="74">
        <f t="shared" si="6"/>
        <v>0</v>
      </c>
      <c r="Y9" s="74">
        <f t="shared" si="6"/>
        <v>0</v>
      </c>
      <c r="Z9" s="74">
        <f t="shared" si="6"/>
        <v>0</v>
      </c>
      <c r="AA9" s="74">
        <f t="shared" si="6"/>
        <v>0</v>
      </c>
      <c r="AB9" s="74">
        <f t="shared" si="6"/>
        <v>0</v>
      </c>
      <c r="AC9" s="74">
        <f t="shared" si="6"/>
        <v>0</v>
      </c>
      <c r="AD9" s="74">
        <f t="shared" si="6"/>
        <v>0</v>
      </c>
      <c r="AE9" s="74">
        <f t="shared" si="6"/>
        <v>0</v>
      </c>
      <c r="AF9" s="74">
        <f t="shared" si="6"/>
        <v>0</v>
      </c>
      <c r="AG9" s="74">
        <f t="shared" si="6"/>
        <v>0</v>
      </c>
      <c r="AH9" s="75"/>
    </row>
    <row r="10" spans="1:35" s="44" customFormat="1" ht="37.5" customHeight="1" x14ac:dyDescent="0.25">
      <c r="A10" s="403"/>
      <c r="B10" s="369"/>
      <c r="C10" s="73" t="s">
        <v>21</v>
      </c>
      <c r="D10" s="74">
        <f t="shared" si="2"/>
        <v>25484.6</v>
      </c>
      <c r="E10" s="74">
        <f>J10+L10+N10+P10</f>
        <v>7606.9769999999999</v>
      </c>
      <c r="F10" s="74">
        <f t="shared" si="4"/>
        <v>6177.3209999999999</v>
      </c>
      <c r="G10" s="74">
        <f t="shared" si="5"/>
        <v>6177.3209999999999</v>
      </c>
      <c r="H10" s="74">
        <f>IFERROR(G10/D10*100,0)</f>
        <v>24.23942694803921</v>
      </c>
      <c r="I10" s="74">
        <f>IFERROR(G10/E10*100,0)</f>
        <v>81.205990237646304</v>
      </c>
      <c r="J10" s="74">
        <f>J14+J22</f>
        <v>2833.6880000000001</v>
      </c>
      <c r="K10" s="74">
        <f t="shared" ref="K10:AG10" si="7">K14+K22</f>
        <v>1404.721</v>
      </c>
      <c r="L10" s="74">
        <f t="shared" si="7"/>
        <v>1680.212</v>
      </c>
      <c r="M10" s="74">
        <f t="shared" si="7"/>
        <v>2087.2600000000002</v>
      </c>
      <c r="N10" s="74">
        <f t="shared" si="7"/>
        <v>1068.1030000000001</v>
      </c>
      <c r="O10" s="74">
        <f>O14+O22</f>
        <v>1354.24</v>
      </c>
      <c r="P10" s="74">
        <f t="shared" si="7"/>
        <v>2024.9739999999999</v>
      </c>
      <c r="Q10" s="74">
        <f t="shared" si="7"/>
        <v>1331.1</v>
      </c>
      <c r="R10" s="74">
        <f t="shared" si="7"/>
        <v>1527.9469999999999</v>
      </c>
      <c r="S10" s="74">
        <f t="shared" si="7"/>
        <v>0</v>
      </c>
      <c r="T10" s="74">
        <f t="shared" si="7"/>
        <v>4606.7020000000002</v>
      </c>
      <c r="U10" s="74">
        <f t="shared" si="7"/>
        <v>0</v>
      </c>
      <c r="V10" s="74">
        <f t="shared" si="7"/>
        <v>4624.9740000000002</v>
      </c>
      <c r="W10" s="74">
        <f t="shared" si="7"/>
        <v>0</v>
      </c>
      <c r="X10" s="74">
        <f t="shared" si="7"/>
        <v>1527.9469999999999</v>
      </c>
      <c r="Y10" s="74">
        <f t="shared" si="7"/>
        <v>0</v>
      </c>
      <c r="Z10" s="74">
        <f t="shared" si="7"/>
        <v>1127.702</v>
      </c>
      <c r="AA10" s="74">
        <f t="shared" si="7"/>
        <v>0</v>
      </c>
      <c r="AB10" s="74">
        <f t="shared" si="7"/>
        <v>1668.9380000000001</v>
      </c>
      <c r="AC10" s="74">
        <f t="shared" si="7"/>
        <v>0</v>
      </c>
      <c r="AD10" s="74">
        <f t="shared" si="7"/>
        <v>1420.425</v>
      </c>
      <c r="AE10" s="74">
        <f t="shared" si="7"/>
        <v>0</v>
      </c>
      <c r="AF10" s="74">
        <f t="shared" si="7"/>
        <v>1372.9880000000001</v>
      </c>
      <c r="AG10" s="74">
        <f t="shared" si="7"/>
        <v>0</v>
      </c>
      <c r="AH10" s="75"/>
    </row>
    <row r="11" spans="1:35" s="47" customFormat="1" ht="18.75" customHeight="1" x14ac:dyDescent="0.25">
      <c r="A11" s="107"/>
      <c r="B11" s="370" t="s">
        <v>103</v>
      </c>
      <c r="C11" s="371"/>
      <c r="D11" s="371"/>
      <c r="E11" s="371"/>
      <c r="F11" s="371"/>
      <c r="G11" s="371"/>
      <c r="H11" s="371"/>
      <c r="I11" s="371"/>
      <c r="J11" s="371"/>
      <c r="K11" s="371"/>
      <c r="L11" s="371"/>
      <c r="M11" s="371"/>
      <c r="N11" s="371"/>
      <c r="O11" s="371"/>
      <c r="P11" s="371"/>
      <c r="Q11" s="371"/>
      <c r="R11" s="371"/>
      <c r="S11" s="371"/>
      <c r="T11" s="371"/>
      <c r="U11" s="371"/>
      <c r="V11" s="371"/>
      <c r="W11" s="371"/>
      <c r="X11" s="371"/>
      <c r="Y11" s="371"/>
      <c r="Z11" s="371"/>
      <c r="AA11" s="371"/>
      <c r="AB11" s="371"/>
      <c r="AC11" s="371"/>
      <c r="AD11" s="371"/>
      <c r="AE11" s="371"/>
      <c r="AF11" s="371"/>
      <c r="AG11" s="372"/>
      <c r="AH11" s="64"/>
    </row>
    <row r="12" spans="1:35" s="50" customFormat="1" ht="25.5" customHeight="1" x14ac:dyDescent="0.25">
      <c r="A12" s="379" t="s">
        <v>104</v>
      </c>
      <c r="B12" s="361" t="s">
        <v>105</v>
      </c>
      <c r="C12" s="57" t="s">
        <v>20</v>
      </c>
      <c r="D12" s="58">
        <f>D14+D13</f>
        <v>10342.5</v>
      </c>
      <c r="E12" s="58">
        <f t="shared" ref="E12:G12" si="8">E14+E13</f>
        <v>0</v>
      </c>
      <c r="F12" s="58">
        <f t="shared" si="8"/>
        <v>0</v>
      </c>
      <c r="G12" s="58">
        <f t="shared" si="8"/>
        <v>0</v>
      </c>
      <c r="H12" s="58">
        <f t="shared" ref="H12" si="9">IFERROR(G12/D12*100,0)</f>
        <v>0</v>
      </c>
      <c r="I12" s="58">
        <f t="shared" ref="I12" si="10">IFERROR(G12/E12*100,0)</f>
        <v>0</v>
      </c>
      <c r="J12" s="59">
        <f>J14+J13</f>
        <v>0</v>
      </c>
      <c r="K12" s="59">
        <f t="shared" ref="K12:AG12" si="11">K14+K13</f>
        <v>0</v>
      </c>
      <c r="L12" s="59">
        <f t="shared" si="11"/>
        <v>0</v>
      </c>
      <c r="M12" s="59">
        <f t="shared" si="11"/>
        <v>0</v>
      </c>
      <c r="N12" s="59">
        <f t="shared" si="11"/>
        <v>0</v>
      </c>
      <c r="O12" s="59">
        <f t="shared" si="11"/>
        <v>0</v>
      </c>
      <c r="P12" s="59">
        <f t="shared" si="11"/>
        <v>0</v>
      </c>
      <c r="Q12" s="59">
        <f t="shared" si="11"/>
        <v>0</v>
      </c>
      <c r="R12" s="59">
        <f t="shared" si="11"/>
        <v>0</v>
      </c>
      <c r="S12" s="59">
        <f t="shared" si="11"/>
        <v>0</v>
      </c>
      <c r="T12" s="59">
        <f t="shared" si="11"/>
        <v>7742.5</v>
      </c>
      <c r="U12" s="59">
        <f t="shared" si="11"/>
        <v>0</v>
      </c>
      <c r="V12" s="59">
        <f t="shared" si="11"/>
        <v>2600</v>
      </c>
      <c r="W12" s="59">
        <f t="shared" si="11"/>
        <v>0</v>
      </c>
      <c r="X12" s="59">
        <f t="shared" si="11"/>
        <v>0</v>
      </c>
      <c r="Y12" s="59">
        <f t="shared" si="11"/>
        <v>0</v>
      </c>
      <c r="Z12" s="59">
        <f t="shared" si="11"/>
        <v>0</v>
      </c>
      <c r="AA12" s="59">
        <f t="shared" si="11"/>
        <v>0</v>
      </c>
      <c r="AB12" s="59">
        <f t="shared" si="11"/>
        <v>0</v>
      </c>
      <c r="AC12" s="59">
        <f t="shared" si="11"/>
        <v>0</v>
      </c>
      <c r="AD12" s="59">
        <f t="shared" si="11"/>
        <v>0</v>
      </c>
      <c r="AE12" s="59">
        <f t="shared" si="11"/>
        <v>0</v>
      </c>
      <c r="AF12" s="59">
        <f t="shared" si="11"/>
        <v>0</v>
      </c>
      <c r="AG12" s="59">
        <f t="shared" si="11"/>
        <v>0</v>
      </c>
      <c r="AH12" s="60"/>
      <c r="AI12" s="49"/>
    </row>
    <row r="13" spans="1:35" s="44" customFormat="1" ht="51.75" customHeight="1" x14ac:dyDescent="0.25">
      <c r="A13" s="380"/>
      <c r="B13" s="362"/>
      <c r="C13" s="73" t="s">
        <v>22</v>
      </c>
      <c r="D13" s="74">
        <f>SUM(J13,L13,N13,P13,R13,T13,V13,X13,Z13,AB13,AD13,AF13)</f>
        <v>4313.7</v>
      </c>
      <c r="E13" s="74">
        <f>J13</f>
        <v>0</v>
      </c>
      <c r="F13" s="74">
        <f>G13</f>
        <v>0</v>
      </c>
      <c r="G13" s="74">
        <f>SUM(K13,M13,O13,Q13,S13,U13,W13,Y13,AA13,AC13,AE13,AG13)</f>
        <v>0</v>
      </c>
      <c r="H13" s="74">
        <f>IFERROR(G13/D13*100,0)</f>
        <v>0</v>
      </c>
      <c r="I13" s="74">
        <f>IFERROR(G13/E13*100,0)</f>
        <v>0</v>
      </c>
      <c r="J13" s="67">
        <f>J16+J19</f>
        <v>0</v>
      </c>
      <c r="K13" s="67">
        <f t="shared" ref="K13:AG13" si="12">K16+K19</f>
        <v>0</v>
      </c>
      <c r="L13" s="67">
        <f t="shared" si="12"/>
        <v>0</v>
      </c>
      <c r="M13" s="67">
        <f t="shared" si="12"/>
        <v>0</v>
      </c>
      <c r="N13" s="67">
        <f t="shared" si="12"/>
        <v>0</v>
      </c>
      <c r="O13" s="67">
        <f t="shared" si="12"/>
        <v>0</v>
      </c>
      <c r="P13" s="67">
        <f t="shared" si="12"/>
        <v>0</v>
      </c>
      <c r="Q13" s="67">
        <f t="shared" si="12"/>
        <v>0</v>
      </c>
      <c r="R13" s="67">
        <f t="shared" si="12"/>
        <v>0</v>
      </c>
      <c r="S13" s="67">
        <f t="shared" si="12"/>
        <v>0</v>
      </c>
      <c r="T13" s="67">
        <f t="shared" si="12"/>
        <v>4313.7</v>
      </c>
      <c r="U13" s="67">
        <f t="shared" si="12"/>
        <v>0</v>
      </c>
      <c r="V13" s="67">
        <f t="shared" si="12"/>
        <v>0</v>
      </c>
      <c r="W13" s="67">
        <f t="shared" si="12"/>
        <v>0</v>
      </c>
      <c r="X13" s="67">
        <f t="shared" si="12"/>
        <v>0</v>
      </c>
      <c r="Y13" s="67">
        <f t="shared" si="12"/>
        <v>0</v>
      </c>
      <c r="Z13" s="67">
        <f t="shared" si="12"/>
        <v>0</v>
      </c>
      <c r="AA13" s="67">
        <f t="shared" si="12"/>
        <v>0</v>
      </c>
      <c r="AB13" s="67">
        <f t="shared" si="12"/>
        <v>0</v>
      </c>
      <c r="AC13" s="67">
        <f t="shared" si="12"/>
        <v>0</v>
      </c>
      <c r="AD13" s="67">
        <f t="shared" si="12"/>
        <v>0</v>
      </c>
      <c r="AE13" s="67">
        <f t="shared" si="12"/>
        <v>0</v>
      </c>
      <c r="AF13" s="67">
        <f t="shared" si="12"/>
        <v>0</v>
      </c>
      <c r="AG13" s="67">
        <f t="shared" si="12"/>
        <v>0</v>
      </c>
      <c r="AH13" s="72"/>
      <c r="AI13" s="51"/>
    </row>
    <row r="14" spans="1:35" s="44" customFormat="1" ht="32.25" customHeight="1" x14ac:dyDescent="0.25">
      <c r="A14" s="374"/>
      <c r="B14" s="362"/>
      <c r="C14" s="73" t="s">
        <v>21</v>
      </c>
      <c r="D14" s="74">
        <f>SUM(J14,L14,N14,P14,R14,T14,V14,X14,Z14,AB14,AD14,AF14)</f>
        <v>6028.8</v>
      </c>
      <c r="E14" s="74">
        <f>J14</f>
        <v>0</v>
      </c>
      <c r="F14" s="74">
        <f>G14</f>
        <v>0</v>
      </c>
      <c r="G14" s="74">
        <f>SUM(K14,M14,O14,Q14,S14,U14,W14,Y14,AA14,AC14,AE14,AG14)</f>
        <v>0</v>
      </c>
      <c r="H14" s="74">
        <f>IFERROR(G14/D14*100,0)</f>
        <v>0</v>
      </c>
      <c r="I14" s="74">
        <f>IFERROR(G14/E14*100,0)</f>
        <v>0</v>
      </c>
      <c r="J14" s="67">
        <f>J17+J20</f>
        <v>0</v>
      </c>
      <c r="K14" s="67">
        <f t="shared" ref="K14:AG14" si="13">K17+K20</f>
        <v>0</v>
      </c>
      <c r="L14" s="67">
        <f t="shared" si="13"/>
        <v>0</v>
      </c>
      <c r="M14" s="67">
        <f t="shared" si="13"/>
        <v>0</v>
      </c>
      <c r="N14" s="67">
        <f t="shared" si="13"/>
        <v>0</v>
      </c>
      <c r="O14" s="67">
        <f t="shared" si="13"/>
        <v>0</v>
      </c>
      <c r="P14" s="67">
        <f t="shared" si="13"/>
        <v>0</v>
      </c>
      <c r="Q14" s="67">
        <f t="shared" si="13"/>
        <v>0</v>
      </c>
      <c r="R14" s="67">
        <f t="shared" si="13"/>
        <v>0</v>
      </c>
      <c r="S14" s="67">
        <f t="shared" si="13"/>
        <v>0</v>
      </c>
      <c r="T14" s="67">
        <f t="shared" si="13"/>
        <v>3428.8</v>
      </c>
      <c r="U14" s="67">
        <f t="shared" si="13"/>
        <v>0</v>
      </c>
      <c r="V14" s="67">
        <f t="shared" si="13"/>
        <v>2600</v>
      </c>
      <c r="W14" s="67">
        <f t="shared" si="13"/>
        <v>0</v>
      </c>
      <c r="X14" s="67">
        <f t="shared" si="13"/>
        <v>0</v>
      </c>
      <c r="Y14" s="67">
        <f t="shared" si="13"/>
        <v>0</v>
      </c>
      <c r="Z14" s="67">
        <f t="shared" si="13"/>
        <v>0</v>
      </c>
      <c r="AA14" s="67">
        <f t="shared" si="13"/>
        <v>0</v>
      </c>
      <c r="AB14" s="67">
        <f t="shared" si="13"/>
        <v>0</v>
      </c>
      <c r="AC14" s="67">
        <f t="shared" si="13"/>
        <v>0</v>
      </c>
      <c r="AD14" s="67">
        <f t="shared" si="13"/>
        <v>0</v>
      </c>
      <c r="AE14" s="67">
        <f t="shared" si="13"/>
        <v>0</v>
      </c>
      <c r="AF14" s="67">
        <f t="shared" si="13"/>
        <v>0</v>
      </c>
      <c r="AG14" s="67">
        <f t="shared" si="13"/>
        <v>0</v>
      </c>
      <c r="AH14" s="72"/>
      <c r="AI14" s="51"/>
    </row>
    <row r="15" spans="1:35" s="50" customFormat="1" ht="27" customHeight="1" x14ac:dyDescent="0.25">
      <c r="A15" s="379"/>
      <c r="B15" s="384" t="s">
        <v>106</v>
      </c>
      <c r="C15" s="57" t="s">
        <v>20</v>
      </c>
      <c r="D15" s="58">
        <f>D17+D16</f>
        <v>7742.5</v>
      </c>
      <c r="E15" s="58">
        <f t="shared" ref="E15:G15" si="14">E17+E16</f>
        <v>0</v>
      </c>
      <c r="F15" s="58">
        <f t="shared" si="14"/>
        <v>0</v>
      </c>
      <c r="G15" s="58">
        <f t="shared" si="14"/>
        <v>0</v>
      </c>
      <c r="H15" s="58">
        <f t="shared" ref="H15" si="15">IFERROR(G15/D15*100,0)</f>
        <v>0</v>
      </c>
      <c r="I15" s="58">
        <f t="shared" ref="I15" si="16">IFERROR(G15/E15*100,0)</f>
        <v>0</v>
      </c>
      <c r="J15" s="59">
        <f>J17+J16</f>
        <v>0</v>
      </c>
      <c r="K15" s="59">
        <f t="shared" ref="K15:AG15" si="17">K17+K16</f>
        <v>0</v>
      </c>
      <c r="L15" s="59">
        <f t="shared" si="17"/>
        <v>0</v>
      </c>
      <c r="M15" s="59">
        <f t="shared" si="17"/>
        <v>0</v>
      </c>
      <c r="N15" s="59">
        <f t="shared" si="17"/>
        <v>0</v>
      </c>
      <c r="O15" s="59">
        <f t="shared" si="17"/>
        <v>0</v>
      </c>
      <c r="P15" s="59">
        <f t="shared" si="17"/>
        <v>0</v>
      </c>
      <c r="Q15" s="59">
        <f t="shared" si="17"/>
        <v>0</v>
      </c>
      <c r="R15" s="59">
        <f t="shared" si="17"/>
        <v>0</v>
      </c>
      <c r="S15" s="59">
        <f t="shared" si="17"/>
        <v>0</v>
      </c>
      <c r="T15" s="59">
        <f t="shared" si="17"/>
        <v>7742.5</v>
      </c>
      <c r="U15" s="59">
        <f t="shared" si="17"/>
        <v>0</v>
      </c>
      <c r="V15" s="59">
        <f t="shared" si="17"/>
        <v>0</v>
      </c>
      <c r="W15" s="59">
        <f t="shared" si="17"/>
        <v>0</v>
      </c>
      <c r="X15" s="59">
        <f t="shared" si="17"/>
        <v>0</v>
      </c>
      <c r="Y15" s="59">
        <f t="shared" si="17"/>
        <v>0</v>
      </c>
      <c r="Z15" s="59">
        <f t="shared" si="17"/>
        <v>0</v>
      </c>
      <c r="AA15" s="59">
        <f t="shared" si="17"/>
        <v>0</v>
      </c>
      <c r="AB15" s="59">
        <f t="shared" si="17"/>
        <v>0</v>
      </c>
      <c r="AC15" s="59">
        <f t="shared" si="17"/>
        <v>0</v>
      </c>
      <c r="AD15" s="59">
        <f t="shared" si="17"/>
        <v>0</v>
      </c>
      <c r="AE15" s="59">
        <f t="shared" si="17"/>
        <v>0</v>
      </c>
      <c r="AF15" s="59">
        <f t="shared" si="17"/>
        <v>0</v>
      </c>
      <c r="AG15" s="59">
        <f t="shared" si="17"/>
        <v>0</v>
      </c>
      <c r="AH15" s="60"/>
      <c r="AI15" s="49"/>
    </row>
    <row r="16" spans="1:35" s="50" customFormat="1" ht="54" customHeight="1" x14ac:dyDescent="0.25">
      <c r="A16" s="380"/>
      <c r="B16" s="385"/>
      <c r="C16" s="61" t="s">
        <v>22</v>
      </c>
      <c r="D16" s="62">
        <f>SUM(J16,L16,N16,P16,R16,T16,V16,X16,Z16,AB16,AD16,AF16)</f>
        <v>4313.7</v>
      </c>
      <c r="E16" s="62">
        <f>J16</f>
        <v>0</v>
      </c>
      <c r="F16" s="62">
        <f>G16</f>
        <v>0</v>
      </c>
      <c r="G16" s="62">
        <f>SUM(K16,M16,O16,Q16,S16,U16,W16,Y16,AA16,AC16,AE16,AG16)</f>
        <v>0</v>
      </c>
      <c r="H16" s="62">
        <f>IFERROR(G16/D16*100,0)</f>
        <v>0</v>
      </c>
      <c r="I16" s="62">
        <f>IFERROR(G16/E16*100,0)</f>
        <v>0</v>
      </c>
      <c r="J16" s="63">
        <v>0</v>
      </c>
      <c r="K16" s="63">
        <v>0</v>
      </c>
      <c r="L16" s="63">
        <v>0</v>
      </c>
      <c r="M16" s="63">
        <v>0</v>
      </c>
      <c r="N16" s="63">
        <v>0</v>
      </c>
      <c r="O16" s="63">
        <v>0</v>
      </c>
      <c r="P16" s="63">
        <v>0</v>
      </c>
      <c r="Q16" s="63">
        <v>0</v>
      </c>
      <c r="R16" s="63">
        <v>0</v>
      </c>
      <c r="S16" s="63">
        <v>0</v>
      </c>
      <c r="T16" s="63">
        <v>4313.7</v>
      </c>
      <c r="U16" s="63">
        <v>0</v>
      </c>
      <c r="V16" s="63">
        <v>0</v>
      </c>
      <c r="W16" s="63">
        <v>0</v>
      </c>
      <c r="X16" s="63">
        <v>0</v>
      </c>
      <c r="Y16" s="63">
        <v>0</v>
      </c>
      <c r="Z16" s="63">
        <v>0</v>
      </c>
      <c r="AA16" s="63">
        <v>0</v>
      </c>
      <c r="AB16" s="63">
        <v>0</v>
      </c>
      <c r="AC16" s="63">
        <v>0</v>
      </c>
      <c r="AD16" s="63">
        <v>0</v>
      </c>
      <c r="AE16" s="63">
        <v>0</v>
      </c>
      <c r="AF16" s="63">
        <v>0</v>
      </c>
      <c r="AG16" s="63">
        <v>0</v>
      </c>
      <c r="AH16" s="60"/>
      <c r="AI16" s="49"/>
    </row>
    <row r="17" spans="1:35" s="50" customFormat="1" ht="42" customHeight="1" x14ac:dyDescent="0.25">
      <c r="A17" s="374"/>
      <c r="B17" s="385"/>
      <c r="C17" s="61" t="s">
        <v>21</v>
      </c>
      <c r="D17" s="62">
        <f>SUM(J17,L17,N17,P17,R17,T17,V17,X17,Z17,AB17,AD17,AF17)</f>
        <v>3428.8</v>
      </c>
      <c r="E17" s="62">
        <f>J17</f>
        <v>0</v>
      </c>
      <c r="F17" s="62">
        <f>G17</f>
        <v>0</v>
      </c>
      <c r="G17" s="62">
        <f>SUM(K17,M17,O17,Q17,S17,U17,W17,Y17,AA17,AC17,AE17,AG17)</f>
        <v>0</v>
      </c>
      <c r="H17" s="62">
        <f>IFERROR(G17/D17*100,0)</f>
        <v>0</v>
      </c>
      <c r="I17" s="62">
        <f>IFERROR(G17/E17*100,0)</f>
        <v>0</v>
      </c>
      <c r="J17" s="63">
        <v>0</v>
      </c>
      <c r="K17" s="63">
        <v>0</v>
      </c>
      <c r="L17" s="63">
        <v>0</v>
      </c>
      <c r="M17" s="63">
        <v>0</v>
      </c>
      <c r="N17" s="63">
        <v>0</v>
      </c>
      <c r="O17" s="63">
        <v>0</v>
      </c>
      <c r="P17" s="63">
        <v>0</v>
      </c>
      <c r="Q17" s="63">
        <v>0</v>
      </c>
      <c r="R17" s="63">
        <v>0</v>
      </c>
      <c r="S17" s="63">
        <v>0</v>
      </c>
      <c r="T17" s="63">
        <v>3428.8</v>
      </c>
      <c r="U17" s="63">
        <v>0</v>
      </c>
      <c r="V17" s="63">
        <v>0</v>
      </c>
      <c r="W17" s="63">
        <v>0</v>
      </c>
      <c r="X17" s="63">
        <v>0</v>
      </c>
      <c r="Y17" s="63">
        <v>0</v>
      </c>
      <c r="Z17" s="63">
        <v>0</v>
      </c>
      <c r="AA17" s="63">
        <v>0</v>
      </c>
      <c r="AB17" s="63">
        <v>0</v>
      </c>
      <c r="AC17" s="63">
        <v>0</v>
      </c>
      <c r="AD17" s="63">
        <v>0</v>
      </c>
      <c r="AE17" s="63">
        <v>0</v>
      </c>
      <c r="AF17" s="63">
        <v>0</v>
      </c>
      <c r="AG17" s="63">
        <v>0</v>
      </c>
      <c r="AH17" s="60"/>
      <c r="AI17" s="49"/>
    </row>
    <row r="18" spans="1:35" s="50" customFormat="1" ht="42.75" customHeight="1" x14ac:dyDescent="0.25">
      <c r="A18" s="374"/>
      <c r="B18" s="384" t="s">
        <v>107</v>
      </c>
      <c r="C18" s="57" t="s">
        <v>20</v>
      </c>
      <c r="D18" s="58">
        <f>D20+D19</f>
        <v>2600</v>
      </c>
      <c r="E18" s="58">
        <f t="shared" ref="E18:G18" si="18">E20+E19</f>
        <v>0</v>
      </c>
      <c r="F18" s="58">
        <f t="shared" si="18"/>
        <v>0</v>
      </c>
      <c r="G18" s="58">
        <f t="shared" si="18"/>
        <v>0</v>
      </c>
      <c r="H18" s="58">
        <f t="shared" ref="H18" si="19">IFERROR(G18/D18*100,0)</f>
        <v>0</v>
      </c>
      <c r="I18" s="58">
        <f t="shared" ref="I18" si="20">IFERROR(G18/E18*100,0)</f>
        <v>0</v>
      </c>
      <c r="J18" s="59">
        <f>J20+J19</f>
        <v>0</v>
      </c>
      <c r="K18" s="59">
        <f t="shared" ref="K18:AG18" si="21">K20+K19</f>
        <v>0</v>
      </c>
      <c r="L18" s="59">
        <f t="shared" si="21"/>
        <v>0</v>
      </c>
      <c r="M18" s="59">
        <f t="shared" si="21"/>
        <v>0</v>
      </c>
      <c r="N18" s="59">
        <f t="shared" si="21"/>
        <v>0</v>
      </c>
      <c r="O18" s="59">
        <f t="shared" si="21"/>
        <v>0</v>
      </c>
      <c r="P18" s="59">
        <f t="shared" si="21"/>
        <v>0</v>
      </c>
      <c r="Q18" s="59">
        <f t="shared" si="21"/>
        <v>0</v>
      </c>
      <c r="R18" s="59">
        <f t="shared" si="21"/>
        <v>0</v>
      </c>
      <c r="S18" s="59">
        <f t="shared" si="21"/>
        <v>0</v>
      </c>
      <c r="T18" s="59">
        <f t="shared" si="21"/>
        <v>0</v>
      </c>
      <c r="U18" s="59">
        <f t="shared" si="21"/>
        <v>0</v>
      </c>
      <c r="V18" s="59">
        <f t="shared" si="21"/>
        <v>2600</v>
      </c>
      <c r="W18" s="59">
        <f t="shared" si="21"/>
        <v>0</v>
      </c>
      <c r="X18" s="59">
        <f t="shared" si="21"/>
        <v>0</v>
      </c>
      <c r="Y18" s="59">
        <f t="shared" si="21"/>
        <v>0</v>
      </c>
      <c r="Z18" s="59">
        <f t="shared" si="21"/>
        <v>0</v>
      </c>
      <c r="AA18" s="59">
        <f t="shared" si="21"/>
        <v>0</v>
      </c>
      <c r="AB18" s="59">
        <f t="shared" si="21"/>
        <v>0</v>
      </c>
      <c r="AC18" s="59">
        <f t="shared" si="21"/>
        <v>0</v>
      </c>
      <c r="AD18" s="59">
        <f t="shared" si="21"/>
        <v>0</v>
      </c>
      <c r="AE18" s="59">
        <f t="shared" si="21"/>
        <v>0</v>
      </c>
      <c r="AF18" s="59">
        <f t="shared" si="21"/>
        <v>0</v>
      </c>
      <c r="AG18" s="59">
        <f t="shared" si="21"/>
        <v>0</v>
      </c>
      <c r="AH18" s="60"/>
      <c r="AI18" s="49"/>
    </row>
    <row r="19" spans="1:35" s="50" customFormat="1" ht="58.5" hidden="1" customHeight="1" x14ac:dyDescent="0.25">
      <c r="A19" s="374"/>
      <c r="B19" s="385"/>
      <c r="C19" s="61" t="s">
        <v>22</v>
      </c>
      <c r="D19" s="62">
        <f>SUM(J19,L19,N19,P19,R19,T19,V19,X19,Z19,AB19,AD19,AF19)</f>
        <v>0</v>
      </c>
      <c r="E19" s="62">
        <f>J19</f>
        <v>0</v>
      </c>
      <c r="F19" s="62">
        <f>G19</f>
        <v>0</v>
      </c>
      <c r="G19" s="62">
        <f>SUM(K19,M19,O19,Q19,S19,U19,W19,Y19,AA19,AC19,AE19,AG19)</f>
        <v>0</v>
      </c>
      <c r="H19" s="62">
        <f>IFERROR(G19/D19*100,0)</f>
        <v>0</v>
      </c>
      <c r="I19" s="62">
        <f>IFERROR(G19/E19*100,0)</f>
        <v>0</v>
      </c>
      <c r="J19" s="63">
        <v>0</v>
      </c>
      <c r="K19" s="63">
        <v>0</v>
      </c>
      <c r="L19" s="63">
        <v>0</v>
      </c>
      <c r="M19" s="63">
        <v>0</v>
      </c>
      <c r="N19" s="63">
        <v>0</v>
      </c>
      <c r="O19" s="63">
        <v>0</v>
      </c>
      <c r="P19" s="63">
        <v>0</v>
      </c>
      <c r="Q19" s="63">
        <v>0</v>
      </c>
      <c r="R19" s="63">
        <v>0</v>
      </c>
      <c r="S19" s="63">
        <v>0</v>
      </c>
      <c r="T19" s="63">
        <v>0</v>
      </c>
      <c r="U19" s="63">
        <v>0</v>
      </c>
      <c r="V19" s="63">
        <v>0</v>
      </c>
      <c r="W19" s="63">
        <v>0</v>
      </c>
      <c r="X19" s="63">
        <v>0</v>
      </c>
      <c r="Y19" s="63">
        <v>0</v>
      </c>
      <c r="Z19" s="63">
        <v>0</v>
      </c>
      <c r="AA19" s="63">
        <v>0</v>
      </c>
      <c r="AB19" s="63">
        <v>0</v>
      </c>
      <c r="AC19" s="63">
        <v>0</v>
      </c>
      <c r="AD19" s="63">
        <v>0</v>
      </c>
      <c r="AE19" s="63">
        <v>0</v>
      </c>
      <c r="AF19" s="63">
        <v>0</v>
      </c>
      <c r="AG19" s="63">
        <v>0</v>
      </c>
      <c r="AH19" s="60"/>
      <c r="AI19" s="49"/>
    </row>
    <row r="20" spans="1:35" s="50" customFormat="1" ht="84" customHeight="1" x14ac:dyDescent="0.25">
      <c r="A20" s="375"/>
      <c r="B20" s="385"/>
      <c r="C20" s="61" t="s">
        <v>21</v>
      </c>
      <c r="D20" s="62">
        <f>SUM(J20,L20,N20,P20,R20,T20,V20,X20,Z20,AB20,AD20,AF20)</f>
        <v>2600</v>
      </c>
      <c r="E20" s="62">
        <f>J20</f>
        <v>0</v>
      </c>
      <c r="F20" s="62">
        <f>G20</f>
        <v>0</v>
      </c>
      <c r="G20" s="62">
        <f>SUM(K20,M20,O20,Q20,S20,U20,W20,Y20,AA20,AC20,AE20,AG20)</f>
        <v>0</v>
      </c>
      <c r="H20" s="62">
        <f>IFERROR(G20/D20*100,0)</f>
        <v>0</v>
      </c>
      <c r="I20" s="62">
        <f>IFERROR(G20/E20*100,0)</f>
        <v>0</v>
      </c>
      <c r="J20" s="63">
        <v>0</v>
      </c>
      <c r="K20" s="63">
        <v>0</v>
      </c>
      <c r="L20" s="63">
        <v>0</v>
      </c>
      <c r="M20" s="63">
        <v>0</v>
      </c>
      <c r="N20" s="63">
        <v>0</v>
      </c>
      <c r="O20" s="63">
        <v>0</v>
      </c>
      <c r="P20" s="63">
        <v>0</v>
      </c>
      <c r="Q20" s="63">
        <v>0</v>
      </c>
      <c r="R20" s="63">
        <v>0</v>
      </c>
      <c r="S20" s="63">
        <v>0</v>
      </c>
      <c r="T20" s="63">
        <v>0</v>
      </c>
      <c r="U20" s="63">
        <v>0</v>
      </c>
      <c r="V20" s="63">
        <v>2600</v>
      </c>
      <c r="W20" s="63">
        <v>0</v>
      </c>
      <c r="X20" s="63">
        <v>0</v>
      </c>
      <c r="Y20" s="63">
        <v>0</v>
      </c>
      <c r="Z20" s="63">
        <v>0</v>
      </c>
      <c r="AA20" s="63">
        <v>0</v>
      </c>
      <c r="AB20" s="63">
        <v>0</v>
      </c>
      <c r="AC20" s="63">
        <v>0</v>
      </c>
      <c r="AD20" s="63">
        <v>0</v>
      </c>
      <c r="AE20" s="63">
        <v>0</v>
      </c>
      <c r="AF20" s="63">
        <v>0</v>
      </c>
      <c r="AG20" s="63">
        <v>0</v>
      </c>
      <c r="AH20" s="60"/>
      <c r="AI20" s="49"/>
    </row>
    <row r="21" spans="1:35" s="42" customFormat="1" ht="27" customHeight="1" x14ac:dyDescent="0.25">
      <c r="A21" s="402" t="s">
        <v>37</v>
      </c>
      <c r="B21" s="367" t="s">
        <v>108</v>
      </c>
      <c r="C21" s="69" t="s">
        <v>20</v>
      </c>
      <c r="D21" s="70">
        <f>D22</f>
        <v>19455.8</v>
      </c>
      <c r="E21" s="70">
        <f t="shared" ref="E21:G21" si="22">E22</f>
        <v>7199.24</v>
      </c>
      <c r="F21" s="70">
        <f t="shared" si="22"/>
        <v>6177.3209999999999</v>
      </c>
      <c r="G21" s="70">
        <f t="shared" si="22"/>
        <v>6177.3209999999999</v>
      </c>
      <c r="H21" s="70">
        <f t="shared" ref="H21" si="23">IFERROR(G21/D21*100,0)</f>
        <v>31.750537114896332</v>
      </c>
      <c r="I21" s="70">
        <f t="shared" ref="I21:I22" si="24">IFERROR(G21/E21*100,0)</f>
        <v>85.805182213678108</v>
      </c>
      <c r="J21" s="71">
        <f t="shared" ref="J21:AG21" si="25">SUM(J22:J22)</f>
        <v>2833.6880000000001</v>
      </c>
      <c r="K21" s="71">
        <f t="shared" si="25"/>
        <v>1404.721</v>
      </c>
      <c r="L21" s="71">
        <f t="shared" si="25"/>
        <v>1680.212</v>
      </c>
      <c r="M21" s="71">
        <f t="shared" si="25"/>
        <v>2087.2600000000002</v>
      </c>
      <c r="N21" s="71">
        <f t="shared" si="25"/>
        <v>1068.1030000000001</v>
      </c>
      <c r="O21" s="71">
        <f t="shared" si="25"/>
        <v>1354.24</v>
      </c>
      <c r="P21" s="71">
        <f t="shared" si="25"/>
        <v>2024.9739999999999</v>
      </c>
      <c r="Q21" s="71">
        <f t="shared" si="25"/>
        <v>1331.1</v>
      </c>
      <c r="R21" s="71">
        <f t="shared" si="25"/>
        <v>1527.9469999999999</v>
      </c>
      <c r="S21" s="71">
        <f t="shared" si="25"/>
        <v>0</v>
      </c>
      <c r="T21" s="71">
        <f t="shared" si="25"/>
        <v>1177.902</v>
      </c>
      <c r="U21" s="71">
        <f t="shared" si="25"/>
        <v>0</v>
      </c>
      <c r="V21" s="71">
        <f t="shared" si="25"/>
        <v>2024.9739999999999</v>
      </c>
      <c r="W21" s="71">
        <f t="shared" si="25"/>
        <v>0</v>
      </c>
      <c r="X21" s="71">
        <f t="shared" si="25"/>
        <v>1527.9469999999999</v>
      </c>
      <c r="Y21" s="71">
        <f t="shared" si="25"/>
        <v>0</v>
      </c>
      <c r="Z21" s="71">
        <f t="shared" si="25"/>
        <v>1127.702</v>
      </c>
      <c r="AA21" s="71">
        <f t="shared" si="25"/>
        <v>0</v>
      </c>
      <c r="AB21" s="71">
        <f t="shared" si="25"/>
        <v>1668.9380000000001</v>
      </c>
      <c r="AC21" s="71">
        <f t="shared" si="25"/>
        <v>0</v>
      </c>
      <c r="AD21" s="71">
        <f t="shared" si="25"/>
        <v>1420.425</v>
      </c>
      <c r="AE21" s="71">
        <f t="shared" si="25"/>
        <v>0</v>
      </c>
      <c r="AF21" s="71">
        <f t="shared" si="25"/>
        <v>1372.9880000000001</v>
      </c>
      <c r="AG21" s="71">
        <f t="shared" si="25"/>
        <v>0</v>
      </c>
      <c r="AH21" s="72"/>
      <c r="AI21" s="51"/>
    </row>
    <row r="22" spans="1:35" s="44" customFormat="1" ht="111.75" customHeight="1" x14ac:dyDescent="0.25">
      <c r="A22" s="403"/>
      <c r="B22" s="369"/>
      <c r="C22" s="73" t="s">
        <v>21</v>
      </c>
      <c r="D22" s="74">
        <f>SUM(J22,L22,N22,P22,R22,T22,V22,X22,Z22,AB22,AD22,AF22)</f>
        <v>19455.8</v>
      </c>
      <c r="E22" s="74">
        <f>J22+L22+O22+Q22</f>
        <v>7199.24</v>
      </c>
      <c r="F22" s="74">
        <f>G22</f>
        <v>6177.3209999999999</v>
      </c>
      <c r="G22" s="74">
        <f>SUM(K22,M22,O22,Q22,S22,U22,W22,Y22,AA22,AC22,AE22,AG22)</f>
        <v>6177.3209999999999</v>
      </c>
      <c r="H22" s="74">
        <f>IFERROR(G22/D22*100,0)</f>
        <v>31.750537114896332</v>
      </c>
      <c r="I22" s="74">
        <f t="shared" si="24"/>
        <v>85.805182213678108</v>
      </c>
      <c r="J22" s="67">
        <v>2833.6880000000001</v>
      </c>
      <c r="K22" s="67">
        <v>1404.721</v>
      </c>
      <c r="L22" s="67">
        <v>1680.212</v>
      </c>
      <c r="M22" s="67">
        <v>2087.2600000000002</v>
      </c>
      <c r="N22" s="67">
        <v>1068.1030000000001</v>
      </c>
      <c r="O22" s="67">
        <v>1354.24</v>
      </c>
      <c r="P22" s="67">
        <v>2024.9739999999999</v>
      </c>
      <c r="Q22" s="67">
        <v>1331.1</v>
      </c>
      <c r="R22" s="67">
        <v>1527.9469999999999</v>
      </c>
      <c r="S22" s="67">
        <v>0</v>
      </c>
      <c r="T22" s="67">
        <v>1177.902</v>
      </c>
      <c r="U22" s="67">
        <v>0</v>
      </c>
      <c r="V22" s="67">
        <v>2024.9739999999999</v>
      </c>
      <c r="W22" s="67">
        <v>0</v>
      </c>
      <c r="X22" s="67">
        <v>1527.9469999999999</v>
      </c>
      <c r="Y22" s="67">
        <v>0</v>
      </c>
      <c r="Z22" s="67">
        <v>1127.702</v>
      </c>
      <c r="AA22" s="67">
        <v>0</v>
      </c>
      <c r="AB22" s="67">
        <v>1668.9380000000001</v>
      </c>
      <c r="AC22" s="67">
        <v>0</v>
      </c>
      <c r="AD22" s="67">
        <v>1420.425</v>
      </c>
      <c r="AE22" s="67">
        <v>0</v>
      </c>
      <c r="AF22" s="67">
        <v>1372.9880000000001</v>
      </c>
      <c r="AG22" s="67">
        <v>0</v>
      </c>
      <c r="AH22" s="75"/>
      <c r="AI22" s="51"/>
    </row>
  </sheetData>
  <customSheetViews>
    <customSheetView guid="{2940A182-D1A7-43C5-8D6E-965BED4371B0}" scale="90" hiddenRows="1" state="hidden">
      <pane xSplit="6" ySplit="7" topLeftCell="G8" activePane="bottomRight" state="frozen"/>
      <selection pane="bottomRight" activeCell="K23" sqref="K23"/>
      <pageMargins left="0.7" right="0.7" top="0.75" bottom="0.75" header="0.3" footer="0.3"/>
      <pageSetup paperSize="9" orientation="portrait" r:id="rId1"/>
    </customSheetView>
    <customSheetView guid="{BBF6B43F-E0FC-43DF-B91C-674F6AB4B556}" scale="90" hiddenRows="1">
      <pane xSplit="6" ySplit="7" topLeftCell="G8" activePane="bottomRight" state="frozen"/>
      <selection pane="bottomRight" activeCell="K16" sqref="K16"/>
      <pageMargins left="0.7" right="0.7" top="0.75" bottom="0.75" header="0.3" footer="0.3"/>
      <pageSetup paperSize="9" orientation="portrait" r:id="rId2"/>
    </customSheetView>
    <customSheetView guid="{30B635D9-57DB-47D5-8A0F-4B30DD769960}" scale="90" hiddenRows="1">
      <pane xSplit="6" ySplit="7" topLeftCell="G8" activePane="bottomRight" state="frozen"/>
      <selection pane="bottomRight" activeCell="K16" sqref="K16"/>
      <pageMargins left="0.7" right="0.7" top="0.75" bottom="0.75" header="0.3" footer="0.3"/>
      <pageSetup paperSize="9" orientation="portrait" r:id="rId3"/>
    </customSheetView>
    <customSheetView guid="{DAEDC989-02E7-4319-8354-59410ACF3F1F}" hiddenRows="1">
      <pane xSplit="6" ySplit="7" topLeftCell="G8" activePane="bottomRight" state="frozen"/>
      <selection pane="bottomRight" activeCell="K16" sqref="K16"/>
      <pageMargins left="0.7" right="0.7" top="0.75" bottom="0.75" header="0.3" footer="0.3"/>
      <pageSetup paperSize="9" orientation="portrait" r:id="rId4"/>
    </customSheetView>
    <customSheetView guid="{21E1D423-7B38-4272-8354-09B4DB62C9EB}" scale="90" hiddenRows="1">
      <pane xSplit="6" ySplit="7" topLeftCell="G8" activePane="bottomRight" state="frozen"/>
      <selection pane="bottomRight" activeCell="K16" sqref="K16"/>
      <pageMargins left="0.7" right="0.7" top="0.75" bottom="0.75" header="0.3" footer="0.3"/>
      <pageSetup paperSize="9" orientation="portrait" r:id="rId5"/>
    </customSheetView>
    <customSheetView guid="{EA46B61D-849C-4795-A4FF-F8F1740022EB}" scale="90" hiddenRows="1">
      <pane xSplit="6" ySplit="7" topLeftCell="G8" activePane="bottomRight" state="frozen"/>
      <selection pane="bottomRight" activeCell="K16" sqref="K16"/>
      <pageMargins left="0.7" right="0.7" top="0.75" bottom="0.75" header="0.3" footer="0.3"/>
      <pageSetup paperSize="9" orientation="portrait" r:id="rId6"/>
    </customSheetView>
    <customSheetView guid="{A0E2FBF6-E560-4343-8BE6-217DC798135B}" scale="90" hiddenRows="1">
      <pane xSplit="6" ySplit="7" topLeftCell="G8" activePane="bottomRight" state="frozen"/>
      <selection pane="bottomRight" activeCell="K16" sqref="K16"/>
      <pageMargins left="0.7" right="0.7" top="0.75" bottom="0.75" header="0.3" footer="0.3"/>
      <pageSetup paperSize="9" orientation="portrait" r:id="rId7"/>
    </customSheetView>
    <customSheetView guid="{20A05A62-CBE8-4538-BBC3-2AD9D3B8FAC0}" scale="90" hiddenRows="1">
      <pane xSplit="6" ySplit="7" topLeftCell="G8" activePane="bottomRight" state="frozen"/>
      <selection pane="bottomRight" activeCell="K16" sqref="K16"/>
      <pageMargins left="0.7" right="0.7" top="0.75" bottom="0.75" header="0.3" footer="0.3"/>
      <pageSetup paperSize="9" orientation="portrait" r:id="rId8"/>
    </customSheetView>
    <customSheetView guid="{A4AF2100-C59D-4F60-9EAB-56D9103463F7}" scale="90" hiddenRows="1">
      <pane xSplit="6" ySplit="7" topLeftCell="G8" activePane="bottomRight" state="frozen"/>
      <selection pane="bottomRight" activeCell="K16" sqref="K16"/>
      <pageMargins left="0.7" right="0.7" top="0.75" bottom="0.75" header="0.3" footer="0.3"/>
      <pageSetup paperSize="9" orientation="portrait" r:id="rId9"/>
    </customSheetView>
    <customSheetView guid="{AB9978E4-895D-4050-8F07-2484E22632D1}" scale="90" hiddenRows="1">
      <pane xSplit="6" ySplit="7" topLeftCell="G8" activePane="bottomRight" state="frozen"/>
      <selection pane="bottomRight" activeCell="K16" sqref="K16"/>
      <pageMargins left="0.7" right="0.7" top="0.75" bottom="0.75" header="0.3" footer="0.3"/>
      <pageSetup paperSize="9" orientation="portrait" r:id="rId10"/>
    </customSheetView>
    <customSheetView guid="{519948E4-0B24-465F-9D9E-44BE50D1D647}" scale="90" hiddenRows="1">
      <pane xSplit="6" ySplit="7" topLeftCell="G8" activePane="bottomRight" state="frozen"/>
      <selection pane="bottomRight" activeCell="K16" sqref="K16"/>
      <pageMargins left="0.7" right="0.7" top="0.75" bottom="0.75" header="0.3" footer="0.3"/>
      <pageSetup paperSize="9" orientation="portrait" r:id="rId11"/>
    </customSheetView>
    <customSheetView guid="{C7DC638A-7F60-46C9-A1FB-9ADEAE87F332}" scale="90" hiddenRows="1">
      <pane xSplit="6" ySplit="7" topLeftCell="G8" activePane="bottomRight" state="frozen"/>
      <selection pane="bottomRight" activeCell="K23" sqref="K23"/>
      <pageMargins left="0.7" right="0.7" top="0.75" bottom="0.75" header="0.3" footer="0.3"/>
      <pageSetup paperSize="9" orientation="portrait" r:id="rId12"/>
    </customSheetView>
    <customSheetView guid="{2A5A11D4-90C6-4A3E-8165-7D7BD634B22F}" scale="90" hiddenRows="1">
      <pane xSplit="6" ySplit="7" topLeftCell="G8" activePane="bottomRight" state="frozen"/>
      <selection pane="bottomRight" activeCell="K16" sqref="K16"/>
      <pageMargins left="0.7" right="0.7" top="0.75" bottom="0.75" header="0.3" footer="0.3"/>
      <pageSetup paperSize="9" orientation="portrait" r:id="rId13"/>
    </customSheetView>
    <customSheetView guid="{562453CE-35F5-40A3-AD14-6399D1197C99}" hiddenRows="1">
      <pane xSplit="6" ySplit="7" topLeftCell="G8" activePane="bottomRight" state="frozen"/>
      <selection pane="bottomRight" activeCell="K16" sqref="K16"/>
      <pageMargins left="0.7" right="0.7" top="0.75" bottom="0.75" header="0.3" footer="0.3"/>
      <pageSetup paperSize="9" orientation="portrait" r:id="rId14"/>
    </customSheetView>
    <customSheetView guid="{B6B60ED6-A6CC-4DA7-A8CA-5E6DB52D5A87}" hiddenRows="1">
      <pane xSplit="6" ySplit="7" topLeftCell="G8" activePane="bottomRight" state="frozen"/>
      <selection pane="bottomRight" activeCell="K16" sqref="K16"/>
      <pageMargins left="0.7" right="0.7" top="0.75" bottom="0.75" header="0.3" footer="0.3"/>
      <pageSetup paperSize="9" orientation="portrait" r:id="rId15"/>
    </customSheetView>
    <customSheetView guid="{133BB3F8-8DD4-4AEF-8CD6-A5FB14681329}" scale="90" hiddenRows="1">
      <pane xSplit="6" ySplit="7" topLeftCell="G8" activePane="bottomRight" state="frozen"/>
      <selection pane="bottomRight" activeCell="K16" sqref="K16"/>
      <pageMargins left="0.7" right="0.7" top="0.75" bottom="0.75" header="0.3" footer="0.3"/>
      <pageSetup paperSize="9" orientation="portrait" r:id="rId16"/>
    </customSheetView>
    <customSheetView guid="{5DF2C78B-5EE4-439D-8D72-8D3A913B65F9}" scale="90" hiddenRows="1">
      <pane xSplit="6" ySplit="7" topLeftCell="G8" activePane="bottomRight" state="frozen"/>
      <selection pane="bottomRight" activeCell="K23" sqref="K23"/>
      <pageMargins left="0.7" right="0.7" top="0.75" bottom="0.75" header="0.3" footer="0.3"/>
      <pageSetup paperSize="9" orientation="portrait" r:id="rId17"/>
    </customSheetView>
    <customSheetView guid="{60A1F930-4BEC-460A-8E14-01E47F6DD055}" scale="90" hiddenRows="1">
      <pane xSplit="6" ySplit="7" topLeftCell="G8" activePane="bottomRight" state="frozen"/>
      <selection pane="bottomRight" activeCell="K16" sqref="K16"/>
      <pageMargins left="0.7" right="0.7" top="0.75" bottom="0.75" header="0.3" footer="0.3"/>
      <pageSetup paperSize="9" orientation="portrait" r:id="rId18"/>
    </customSheetView>
    <customSheetView guid="{7C5A2A36-3D69-43D9-9018-A52C27EC78F9}" scale="90" hiddenRows="1">
      <pane xSplit="6" ySplit="7" topLeftCell="G8" activePane="bottomRight" state="frozen"/>
      <selection pane="bottomRight" activeCell="K23" sqref="K23"/>
      <pageMargins left="0.7" right="0.7" top="0.75" bottom="0.75" header="0.3" footer="0.3"/>
      <pageSetup paperSize="9" orientation="portrait" r:id="rId19"/>
    </customSheetView>
    <customSheetView guid="{C282AA4E-1BB5-4296-9AC6-844C0F88E5FC}" scale="90" hiddenRows="1">
      <pane xSplit="6" ySplit="7" topLeftCell="G8" activePane="bottomRight" state="frozen"/>
      <selection pane="bottomRight" activeCell="M26" sqref="M26"/>
      <pageMargins left="0.7" right="0.7" top="0.75" bottom="0.75" header="0.3" footer="0.3"/>
      <pageSetup paperSize="9" orientation="portrait" r:id="rId20"/>
    </customSheetView>
    <customSheetView guid="{996EC2F0-F6EC-4E63-A83E-34865157BD8D}" scale="90" hiddenRows="1">
      <pane xSplit="6" ySplit="7" topLeftCell="G8" activePane="bottomRight" state="frozen"/>
      <selection pane="bottomRight" activeCell="K16" sqref="K16"/>
      <pageMargins left="0.7" right="0.7" top="0.75" bottom="0.75" header="0.3" footer="0.3"/>
      <pageSetup paperSize="9" orientation="portrait" r:id="rId21"/>
    </customSheetView>
    <customSheetView guid="{AFADB96A-0516-43C1-9F1B-0604F3CAC04A}" scale="90" hiddenRows="1">
      <pane xSplit="6" ySplit="7" topLeftCell="G8" activePane="bottomRight" state="frozen"/>
      <selection pane="bottomRight" activeCell="K16" sqref="K16"/>
      <pageMargins left="0.7" right="0.7" top="0.75" bottom="0.75" header="0.3" footer="0.3"/>
      <pageSetup paperSize="9" orientation="portrait" r:id="rId22"/>
    </customSheetView>
  </customSheetViews>
  <mergeCells count="34">
    <mergeCell ref="A21:A22"/>
    <mergeCell ref="B21:B22"/>
    <mergeCell ref="A12:A14"/>
    <mergeCell ref="B12:B14"/>
    <mergeCell ref="A15:A17"/>
    <mergeCell ref="B15:B17"/>
    <mergeCell ref="A18:A20"/>
    <mergeCell ref="B18:B20"/>
    <mergeCell ref="AH4:AH6"/>
    <mergeCell ref="A8:A10"/>
    <mergeCell ref="B8:B10"/>
    <mergeCell ref="B11:AG11"/>
    <mergeCell ref="V4:W5"/>
    <mergeCell ref="X4:Y5"/>
    <mergeCell ref="Z4:AA5"/>
    <mergeCell ref="AB4:AC5"/>
    <mergeCell ref="AD4:AE5"/>
    <mergeCell ref="AF4:AG5"/>
    <mergeCell ref="J4:K5"/>
    <mergeCell ref="L4:M5"/>
    <mergeCell ref="N4:O5"/>
    <mergeCell ref="P4:Q5"/>
    <mergeCell ref="R4:S5"/>
    <mergeCell ref="T4:U5"/>
    <mergeCell ref="C2:S2"/>
    <mergeCell ref="C3:S3"/>
    <mergeCell ref="A4:A6"/>
    <mergeCell ref="B4:B6"/>
    <mergeCell ref="C4:C6"/>
    <mergeCell ref="D4:D5"/>
    <mergeCell ref="E4:E5"/>
    <mergeCell ref="F4:F5"/>
    <mergeCell ref="G4:G5"/>
    <mergeCell ref="H4:I5"/>
  </mergeCells>
  <pageMargins left="0.7" right="0.7" top="0.75" bottom="0.75" header="0.3" footer="0.3"/>
  <pageSetup paperSize="9" orientation="portrait" r:id="rId2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I26"/>
  <sheetViews>
    <sheetView zoomScale="80" zoomScaleNormal="80" workbookViewId="0">
      <pane xSplit="6" ySplit="7" topLeftCell="G11" activePane="bottomRight" state="frozen"/>
      <selection pane="topRight" activeCell="G1" sqref="G1"/>
      <selection pane="bottomLeft" activeCell="A8" sqref="A8"/>
      <selection pane="bottomRight" activeCell="C3" sqref="C3:S3"/>
    </sheetView>
  </sheetViews>
  <sheetFormatPr defaultColWidth="9.140625" defaultRowHeight="15.75" x14ac:dyDescent="0.25"/>
  <cols>
    <col min="1" max="1" width="9.85546875" style="53" customWidth="1"/>
    <col min="2" max="2" width="42.140625" style="53" customWidth="1"/>
    <col min="3" max="3" width="18.5703125" style="54" customWidth="1"/>
    <col min="4" max="4" width="18" style="53" customWidth="1"/>
    <col min="5" max="5" width="14.7109375" style="53" customWidth="1"/>
    <col min="6" max="6" width="15" style="53" customWidth="1"/>
    <col min="7" max="7" width="13.85546875" style="53" customWidth="1"/>
    <col min="8" max="8" width="12.140625" style="53" customWidth="1"/>
    <col min="9" max="9" width="10.85546875" style="53" customWidth="1"/>
    <col min="10" max="10" width="14.28515625" style="53" customWidth="1"/>
    <col min="11" max="11" width="13.5703125" style="53" customWidth="1"/>
    <col min="12" max="12" width="13.85546875" style="53" customWidth="1"/>
    <col min="13" max="13" width="13" style="53" customWidth="1"/>
    <col min="14" max="14" width="13.42578125" style="53" customWidth="1"/>
    <col min="15" max="15" width="11.5703125" style="53" customWidth="1"/>
    <col min="16" max="16" width="13.42578125" style="53" customWidth="1"/>
    <col min="17" max="17" width="11.5703125" style="53" customWidth="1"/>
    <col min="18" max="18" width="13" style="53" customWidth="1"/>
    <col min="19" max="19" width="11.5703125" style="53" customWidth="1"/>
    <col min="20" max="20" width="13" style="53" customWidth="1"/>
    <col min="21" max="21" width="11.5703125" style="53" customWidth="1"/>
    <col min="22" max="22" width="14.28515625" style="53" customWidth="1"/>
    <col min="23" max="23" width="11.5703125" style="53" customWidth="1"/>
    <col min="24" max="24" width="13.5703125" style="53" customWidth="1"/>
    <col min="25" max="25" width="11.5703125" style="53" customWidth="1"/>
    <col min="26" max="26" width="16.140625" style="53" customWidth="1"/>
    <col min="27" max="27" width="11.5703125" style="53" customWidth="1"/>
    <col min="28" max="28" width="14.85546875" style="53" customWidth="1"/>
    <col min="29" max="29" width="11.5703125" style="53" customWidth="1"/>
    <col min="30" max="30" width="13.42578125" style="53" customWidth="1"/>
    <col min="31" max="33" width="11.5703125" style="53" customWidth="1"/>
    <col min="34" max="34" width="38.5703125" style="53" customWidth="1"/>
    <col min="35" max="16384" width="9.140625" style="53"/>
  </cols>
  <sheetData>
    <row r="1" spans="1:35" s="33" customFormat="1" ht="23.25" customHeight="1" x14ac:dyDescent="0.25">
      <c r="C1" s="12"/>
      <c r="D1" s="13"/>
      <c r="E1" s="13"/>
      <c r="F1" s="13"/>
      <c r="G1" s="13"/>
      <c r="H1" s="13"/>
      <c r="I1" s="13"/>
      <c r="J1" s="4"/>
      <c r="K1" s="4"/>
      <c r="L1" s="4"/>
      <c r="M1" s="4"/>
      <c r="N1" s="4"/>
      <c r="O1" s="4"/>
      <c r="P1" s="4"/>
      <c r="Q1" s="4"/>
      <c r="R1" s="4"/>
      <c r="S1" s="4"/>
      <c r="T1" s="4"/>
      <c r="U1" s="4"/>
      <c r="V1" s="14"/>
      <c r="W1" s="14"/>
      <c r="X1" s="14"/>
      <c r="Y1" s="14"/>
      <c r="Z1" s="14"/>
      <c r="AA1" s="14"/>
      <c r="AB1" s="14"/>
      <c r="AC1" s="14"/>
      <c r="AD1" s="34"/>
      <c r="AE1" s="34"/>
      <c r="AF1" s="34"/>
      <c r="AG1" s="4"/>
      <c r="AH1" s="4"/>
    </row>
    <row r="2" spans="1:35" s="33" customFormat="1" x14ac:dyDescent="0.25">
      <c r="C2" s="346" t="s">
        <v>24</v>
      </c>
      <c r="D2" s="346"/>
      <c r="E2" s="346"/>
      <c r="F2" s="346"/>
      <c r="G2" s="346"/>
      <c r="H2" s="346"/>
      <c r="I2" s="346"/>
      <c r="J2" s="346"/>
      <c r="K2" s="346"/>
      <c r="L2" s="346"/>
      <c r="M2" s="346"/>
      <c r="N2" s="346"/>
      <c r="O2" s="346"/>
      <c r="P2" s="346"/>
      <c r="Q2" s="346"/>
      <c r="R2" s="346"/>
      <c r="S2" s="346"/>
      <c r="T2" s="35"/>
      <c r="U2" s="35"/>
      <c r="V2" s="35"/>
      <c r="W2" s="35"/>
      <c r="X2" s="35"/>
      <c r="Y2" s="35"/>
      <c r="Z2" s="35"/>
      <c r="AA2" s="35"/>
      <c r="AB2" s="35"/>
      <c r="AC2" s="35"/>
      <c r="AD2" s="35"/>
      <c r="AE2" s="35"/>
      <c r="AF2" s="35"/>
      <c r="AG2" s="35"/>
      <c r="AH2" s="35"/>
    </row>
    <row r="3" spans="1:35" s="33" customFormat="1" ht="36.75" customHeight="1" x14ac:dyDescent="0.25">
      <c r="C3" s="347" t="s">
        <v>112</v>
      </c>
      <c r="D3" s="347"/>
      <c r="E3" s="347"/>
      <c r="F3" s="347"/>
      <c r="G3" s="347"/>
      <c r="H3" s="347"/>
      <c r="I3" s="347"/>
      <c r="J3" s="347"/>
      <c r="K3" s="347"/>
      <c r="L3" s="347"/>
      <c r="M3" s="347"/>
      <c r="N3" s="347"/>
      <c r="O3" s="347"/>
      <c r="P3" s="347"/>
      <c r="Q3" s="347"/>
      <c r="R3" s="347"/>
      <c r="S3" s="347"/>
      <c r="T3" s="36"/>
      <c r="U3" s="36"/>
      <c r="V3" s="36"/>
      <c r="W3" s="36"/>
      <c r="X3" s="36"/>
      <c r="Y3" s="36"/>
      <c r="Z3" s="36"/>
      <c r="AA3" s="36"/>
      <c r="AB3" s="36"/>
      <c r="AC3" s="36"/>
      <c r="AD3" s="37"/>
      <c r="AE3" s="37"/>
      <c r="AF3" s="37"/>
      <c r="AG3" s="37" t="s">
        <v>0</v>
      </c>
      <c r="AH3" s="37"/>
    </row>
    <row r="4" spans="1:35" s="33" customFormat="1" ht="15" customHeight="1" x14ac:dyDescent="0.25">
      <c r="A4" s="348" t="s">
        <v>26</v>
      </c>
      <c r="B4" s="351" t="s">
        <v>29</v>
      </c>
      <c r="C4" s="351" t="s">
        <v>30</v>
      </c>
      <c r="D4" s="359"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33" customFormat="1" ht="39" customHeight="1" x14ac:dyDescent="0.25">
      <c r="A5" s="349"/>
      <c r="B5" s="352"/>
      <c r="C5" s="352"/>
      <c r="D5" s="360"/>
      <c r="E5" s="360"/>
      <c r="F5" s="360"/>
      <c r="G5" s="360"/>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5" s="33" customFormat="1" ht="64.5" customHeight="1" x14ac:dyDescent="0.25">
      <c r="A6" s="350"/>
      <c r="B6" s="353"/>
      <c r="C6" s="353"/>
      <c r="D6" s="38">
        <v>2025</v>
      </c>
      <c r="E6" s="39">
        <v>45778</v>
      </c>
      <c r="F6" s="39">
        <v>45778</v>
      </c>
      <c r="G6" s="39">
        <v>45778</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33" customFormat="1" x14ac:dyDescent="0.25">
      <c r="A7" s="56">
        <v>1</v>
      </c>
      <c r="B7" s="56">
        <v>2</v>
      </c>
      <c r="C7" s="56">
        <v>3</v>
      </c>
      <c r="D7" s="56">
        <v>4</v>
      </c>
      <c r="E7" s="56">
        <v>5</v>
      </c>
      <c r="F7" s="56">
        <v>6</v>
      </c>
      <c r="G7" s="56">
        <v>7</v>
      </c>
      <c r="H7" s="56">
        <v>8</v>
      </c>
      <c r="I7" s="56">
        <v>9</v>
      </c>
      <c r="J7" s="56">
        <v>10</v>
      </c>
      <c r="K7" s="56">
        <v>11</v>
      </c>
      <c r="L7" s="56">
        <v>12</v>
      </c>
      <c r="M7" s="56">
        <v>13</v>
      </c>
      <c r="N7" s="56">
        <v>14</v>
      </c>
      <c r="O7" s="56">
        <v>15</v>
      </c>
      <c r="P7" s="56">
        <v>16</v>
      </c>
      <c r="Q7" s="56">
        <v>17</v>
      </c>
      <c r="R7" s="56">
        <v>18</v>
      </c>
      <c r="S7" s="56">
        <v>19</v>
      </c>
      <c r="T7" s="56">
        <v>20</v>
      </c>
      <c r="U7" s="56">
        <v>21</v>
      </c>
      <c r="V7" s="56">
        <v>22</v>
      </c>
      <c r="W7" s="56">
        <v>23</v>
      </c>
      <c r="X7" s="56">
        <v>24</v>
      </c>
      <c r="Y7" s="56">
        <v>25</v>
      </c>
      <c r="Z7" s="56">
        <v>26</v>
      </c>
      <c r="AA7" s="56">
        <v>27</v>
      </c>
      <c r="AB7" s="56">
        <v>28</v>
      </c>
      <c r="AC7" s="56">
        <v>29</v>
      </c>
      <c r="AD7" s="56">
        <v>30</v>
      </c>
      <c r="AE7" s="56">
        <v>31</v>
      </c>
      <c r="AF7" s="56">
        <v>32</v>
      </c>
      <c r="AG7" s="56">
        <v>33</v>
      </c>
      <c r="AH7" s="56">
        <v>34</v>
      </c>
    </row>
    <row r="8" spans="1:35" s="42" customFormat="1" ht="31.5" customHeight="1" x14ac:dyDescent="0.25">
      <c r="A8" s="402"/>
      <c r="B8" s="367" t="s">
        <v>23</v>
      </c>
      <c r="C8" s="69" t="s">
        <v>20</v>
      </c>
      <c r="D8" s="70">
        <f>D9+D10+D11</f>
        <v>912302.12999999989</v>
      </c>
      <c r="E8" s="70">
        <f t="shared" ref="E8:G8" si="0">E9+E10+E11</f>
        <v>89054.99</v>
      </c>
      <c r="F8" s="70">
        <f t="shared" si="0"/>
        <v>71174.990000000005</v>
      </c>
      <c r="G8" s="70">
        <f t="shared" si="0"/>
        <v>71174.990000000005</v>
      </c>
      <c r="H8" s="70">
        <f>IFERROR(G8/D8*100,0)</f>
        <v>7.8016906526350001</v>
      </c>
      <c r="I8" s="70">
        <f>IFERROR(G8/E8*100,0)</f>
        <v>79.922517536636633</v>
      </c>
      <c r="J8" s="71">
        <f>J9+J10+J11</f>
        <v>0</v>
      </c>
      <c r="K8" s="71">
        <f t="shared" ref="K8:AG8" si="1">K9+K10+K11</f>
        <v>0</v>
      </c>
      <c r="L8" s="71">
        <f t="shared" si="1"/>
        <v>0</v>
      </c>
      <c r="M8" s="71">
        <f t="shared" si="1"/>
        <v>0</v>
      </c>
      <c r="N8" s="71">
        <f t="shared" si="1"/>
        <v>884.99</v>
      </c>
      <c r="O8" s="71">
        <f t="shared" si="1"/>
        <v>884.99</v>
      </c>
      <c r="P8" s="71">
        <f t="shared" si="1"/>
        <v>88170</v>
      </c>
      <c r="Q8" s="71">
        <f t="shared" si="1"/>
        <v>70290</v>
      </c>
      <c r="R8" s="71">
        <f t="shared" si="1"/>
        <v>89400</v>
      </c>
      <c r="S8" s="71">
        <f t="shared" si="1"/>
        <v>0</v>
      </c>
      <c r="T8" s="71">
        <f t="shared" si="1"/>
        <v>0</v>
      </c>
      <c r="U8" s="71">
        <f t="shared" si="1"/>
        <v>0</v>
      </c>
      <c r="V8" s="71">
        <f t="shared" si="1"/>
        <v>0</v>
      </c>
      <c r="W8" s="71">
        <f t="shared" si="1"/>
        <v>0</v>
      </c>
      <c r="X8" s="71">
        <f t="shared" si="1"/>
        <v>0</v>
      </c>
      <c r="Y8" s="71">
        <f t="shared" si="1"/>
        <v>0</v>
      </c>
      <c r="Z8" s="71">
        <f t="shared" si="1"/>
        <v>337132.67</v>
      </c>
      <c r="AA8" s="71">
        <f t="shared" si="1"/>
        <v>0</v>
      </c>
      <c r="AB8" s="71">
        <f t="shared" si="1"/>
        <v>368089.97</v>
      </c>
      <c r="AC8" s="71">
        <f t="shared" si="1"/>
        <v>0</v>
      </c>
      <c r="AD8" s="71">
        <f t="shared" si="1"/>
        <v>28624.5</v>
      </c>
      <c r="AE8" s="71">
        <f t="shared" si="1"/>
        <v>0</v>
      </c>
      <c r="AF8" s="71">
        <f t="shared" si="1"/>
        <v>0</v>
      </c>
      <c r="AG8" s="71">
        <f t="shared" si="1"/>
        <v>0</v>
      </c>
      <c r="AH8" s="72"/>
    </row>
    <row r="9" spans="1:35" s="44" customFormat="1" ht="48.75" customHeight="1" x14ac:dyDescent="0.25">
      <c r="A9" s="416"/>
      <c r="B9" s="368"/>
      <c r="C9" s="73" t="s">
        <v>52</v>
      </c>
      <c r="D9" s="74">
        <f>J9+L9+N9+P9+R9+T9+V9+X9+Z9+AB9+AD9+AF9</f>
        <v>103776.4</v>
      </c>
      <c r="E9" s="74">
        <f>E25+E15</f>
        <v>0</v>
      </c>
      <c r="F9" s="74">
        <f>F25+F15</f>
        <v>0</v>
      </c>
      <c r="G9" s="74">
        <f>G14+G25</f>
        <v>0</v>
      </c>
      <c r="H9" s="74">
        <f t="shared" ref="H9" si="2">IFERROR(G9/D9*100,0)</f>
        <v>0</v>
      </c>
      <c r="I9" s="74">
        <f t="shared" ref="I9" si="3">IFERROR(G9/E9*100,0)</f>
        <v>0</v>
      </c>
      <c r="J9" s="74">
        <f>J14</f>
        <v>0</v>
      </c>
      <c r="K9" s="74">
        <f t="shared" ref="K9:AG9" si="4">K14</f>
        <v>0</v>
      </c>
      <c r="L9" s="74">
        <f t="shared" si="4"/>
        <v>0</v>
      </c>
      <c r="M9" s="74">
        <f t="shared" si="4"/>
        <v>0</v>
      </c>
      <c r="N9" s="74">
        <f t="shared" si="4"/>
        <v>0</v>
      </c>
      <c r="O9" s="74">
        <f t="shared" si="4"/>
        <v>0</v>
      </c>
      <c r="P9" s="74">
        <f t="shared" si="4"/>
        <v>0</v>
      </c>
      <c r="Q9" s="74">
        <f t="shared" si="4"/>
        <v>0</v>
      </c>
      <c r="R9" s="74">
        <f t="shared" si="4"/>
        <v>70804.78</v>
      </c>
      <c r="S9" s="74">
        <f t="shared" si="4"/>
        <v>0</v>
      </c>
      <c r="T9" s="74">
        <f t="shared" si="4"/>
        <v>0</v>
      </c>
      <c r="U9" s="74">
        <f t="shared" si="4"/>
        <v>0</v>
      </c>
      <c r="V9" s="74">
        <f t="shared" si="4"/>
        <v>0</v>
      </c>
      <c r="W9" s="74">
        <f t="shared" si="4"/>
        <v>0</v>
      </c>
      <c r="X9" s="74">
        <f t="shared" si="4"/>
        <v>0</v>
      </c>
      <c r="Y9" s="74">
        <f t="shared" si="4"/>
        <v>0</v>
      </c>
      <c r="Z9" s="74">
        <f t="shared" si="4"/>
        <v>32971.620000000003</v>
      </c>
      <c r="AA9" s="74">
        <f t="shared" si="4"/>
        <v>0</v>
      </c>
      <c r="AB9" s="74">
        <f t="shared" si="4"/>
        <v>0</v>
      </c>
      <c r="AC9" s="74">
        <f t="shared" si="4"/>
        <v>0</v>
      </c>
      <c r="AD9" s="74">
        <f t="shared" si="4"/>
        <v>0</v>
      </c>
      <c r="AE9" s="74">
        <f t="shared" si="4"/>
        <v>0</v>
      </c>
      <c r="AF9" s="74">
        <f t="shared" si="4"/>
        <v>0</v>
      </c>
      <c r="AG9" s="74">
        <f t="shared" si="4"/>
        <v>0</v>
      </c>
      <c r="AH9" s="75"/>
    </row>
    <row r="10" spans="1:35" s="44" customFormat="1" ht="57.75" customHeight="1" x14ac:dyDescent="0.25">
      <c r="A10" s="416"/>
      <c r="B10" s="368"/>
      <c r="C10" s="73" t="s">
        <v>22</v>
      </c>
      <c r="D10" s="74">
        <f t="shared" ref="D10" si="5">J10+L10+N10+P10+R10+T10+V10+X10+Z10+AB10+AD10+AF10</f>
        <v>84419.4</v>
      </c>
      <c r="E10" s="74">
        <f>E15+E26+E20+E22</f>
        <v>990</v>
      </c>
      <c r="F10" s="74">
        <f>F15+F26+F20+F22</f>
        <v>990</v>
      </c>
      <c r="G10" s="74">
        <f>G15+G26+G20+G22</f>
        <v>990</v>
      </c>
      <c r="H10" s="74">
        <f>IFERROR(G10/D10*100,0)</f>
        <v>1.1727162239959061</v>
      </c>
      <c r="I10" s="74">
        <f>IFERROR(G10/E10*100,0)</f>
        <v>100</v>
      </c>
      <c r="J10" s="74">
        <f t="shared" ref="J10:AG10" si="6">J15+J25</f>
        <v>0</v>
      </c>
      <c r="K10" s="74">
        <f t="shared" si="6"/>
        <v>0</v>
      </c>
      <c r="L10" s="74">
        <f t="shared" si="6"/>
        <v>0</v>
      </c>
      <c r="M10" s="74">
        <f t="shared" si="6"/>
        <v>0</v>
      </c>
      <c r="N10" s="74">
        <f t="shared" si="6"/>
        <v>0</v>
      </c>
      <c r="O10" s="74">
        <f t="shared" si="6"/>
        <v>0</v>
      </c>
      <c r="P10" s="74">
        <f t="shared" si="6"/>
        <v>0</v>
      </c>
      <c r="Q10" s="74">
        <f t="shared" si="6"/>
        <v>0</v>
      </c>
      <c r="R10" s="74">
        <f t="shared" si="6"/>
        <v>715.22</v>
      </c>
      <c r="S10" s="74">
        <f t="shared" si="6"/>
        <v>0</v>
      </c>
      <c r="T10" s="74">
        <f t="shared" si="6"/>
        <v>0</v>
      </c>
      <c r="U10" s="74">
        <f t="shared" si="6"/>
        <v>0</v>
      </c>
      <c r="V10" s="74">
        <f t="shared" si="6"/>
        <v>0</v>
      </c>
      <c r="W10" s="74">
        <f t="shared" si="6"/>
        <v>0</v>
      </c>
      <c r="X10" s="74">
        <f t="shared" si="6"/>
        <v>0</v>
      </c>
      <c r="Y10" s="74">
        <f t="shared" si="6"/>
        <v>0</v>
      </c>
      <c r="Z10" s="74">
        <f t="shared" si="6"/>
        <v>11100</v>
      </c>
      <c r="AA10" s="74">
        <f t="shared" si="6"/>
        <v>0</v>
      </c>
      <c r="AB10" s="74">
        <f t="shared" si="6"/>
        <v>72604.179999999993</v>
      </c>
      <c r="AC10" s="74">
        <f t="shared" si="6"/>
        <v>0</v>
      </c>
      <c r="AD10" s="74">
        <f t="shared" si="6"/>
        <v>0</v>
      </c>
      <c r="AE10" s="74">
        <f t="shared" si="6"/>
        <v>0</v>
      </c>
      <c r="AF10" s="74">
        <f t="shared" si="6"/>
        <v>0</v>
      </c>
      <c r="AG10" s="74">
        <f t="shared" si="6"/>
        <v>0</v>
      </c>
      <c r="AH10" s="75"/>
    </row>
    <row r="11" spans="1:35" s="44" customFormat="1" ht="41.25" customHeight="1" x14ac:dyDescent="0.25">
      <c r="A11" s="403"/>
      <c r="B11" s="369"/>
      <c r="C11" s="73" t="s">
        <v>21</v>
      </c>
      <c r="D11" s="74">
        <f>J11+L11+N11+P11+R11+T11+V11+X11+Z11+AB11+AD11+AF11</f>
        <v>724106.33</v>
      </c>
      <c r="E11" s="74">
        <f>E16</f>
        <v>88064.99</v>
      </c>
      <c r="F11" s="74">
        <f t="shared" ref="F11:G11" si="7">F16</f>
        <v>70184.990000000005</v>
      </c>
      <c r="G11" s="74">
        <f t="shared" si="7"/>
        <v>70184.990000000005</v>
      </c>
      <c r="H11" s="74">
        <f>IFERROR(G11/D11*100,0)</f>
        <v>9.6926358867764648</v>
      </c>
      <c r="I11" s="74">
        <f>IFERROR(G11/E11*100,0)</f>
        <v>79.696812547188173</v>
      </c>
      <c r="J11" s="74">
        <f>J16+J20+J22+J26+J18</f>
        <v>0</v>
      </c>
      <c r="K11" s="74">
        <f>K16+K20+K22+K26+K18</f>
        <v>0</v>
      </c>
      <c r="L11" s="74">
        <f t="shared" ref="L11:AG11" si="8">L16+L20+L22+L26+L18</f>
        <v>0</v>
      </c>
      <c r="M11" s="74">
        <f t="shared" si="8"/>
        <v>0</v>
      </c>
      <c r="N11" s="74">
        <f t="shared" si="8"/>
        <v>884.99</v>
      </c>
      <c r="O11" s="74">
        <f t="shared" si="8"/>
        <v>884.99</v>
      </c>
      <c r="P11" s="74">
        <f t="shared" si="8"/>
        <v>88170</v>
      </c>
      <c r="Q11" s="74">
        <f t="shared" si="8"/>
        <v>70290</v>
      </c>
      <c r="R11" s="74">
        <f t="shared" si="8"/>
        <v>17880</v>
      </c>
      <c r="S11" s="74">
        <f t="shared" si="8"/>
        <v>0</v>
      </c>
      <c r="T11" s="74">
        <f t="shared" si="8"/>
        <v>0</v>
      </c>
      <c r="U11" s="74">
        <f t="shared" si="8"/>
        <v>0</v>
      </c>
      <c r="V11" s="74">
        <f t="shared" si="8"/>
        <v>0</v>
      </c>
      <c r="W11" s="74">
        <f t="shared" si="8"/>
        <v>0</v>
      </c>
      <c r="X11" s="74">
        <f t="shared" si="8"/>
        <v>0</v>
      </c>
      <c r="Y11" s="74">
        <f t="shared" si="8"/>
        <v>0</v>
      </c>
      <c r="Z11" s="74">
        <f t="shared" si="8"/>
        <v>293061.05</v>
      </c>
      <c r="AA11" s="74">
        <f t="shared" si="8"/>
        <v>0</v>
      </c>
      <c r="AB11" s="74">
        <f t="shared" si="8"/>
        <v>295485.78999999998</v>
      </c>
      <c r="AC11" s="74">
        <f t="shared" si="8"/>
        <v>0</v>
      </c>
      <c r="AD11" s="74">
        <f t="shared" si="8"/>
        <v>28624.5</v>
      </c>
      <c r="AE11" s="74">
        <f t="shared" si="8"/>
        <v>0</v>
      </c>
      <c r="AF11" s="74">
        <f t="shared" si="8"/>
        <v>0</v>
      </c>
      <c r="AG11" s="74">
        <f t="shared" si="8"/>
        <v>0</v>
      </c>
      <c r="AH11" s="75"/>
    </row>
    <row r="12" spans="1:35" s="47" customFormat="1" ht="18.75" customHeight="1" x14ac:dyDescent="0.25">
      <c r="A12" s="45"/>
      <c r="B12" s="370" t="s">
        <v>49</v>
      </c>
      <c r="C12" s="371"/>
      <c r="D12" s="371"/>
      <c r="E12" s="371"/>
      <c r="F12" s="371"/>
      <c r="G12" s="371"/>
      <c r="H12" s="371"/>
      <c r="I12" s="371"/>
      <c r="J12" s="371"/>
      <c r="K12" s="371"/>
      <c r="L12" s="371"/>
      <c r="M12" s="371"/>
      <c r="N12" s="371"/>
      <c r="O12" s="371"/>
      <c r="P12" s="371"/>
      <c r="Q12" s="371"/>
      <c r="R12" s="371"/>
      <c r="S12" s="371"/>
      <c r="T12" s="371"/>
      <c r="U12" s="371"/>
      <c r="V12" s="371"/>
      <c r="W12" s="371"/>
      <c r="X12" s="371"/>
      <c r="Y12" s="371"/>
      <c r="Z12" s="371"/>
      <c r="AA12" s="371"/>
      <c r="AB12" s="371"/>
      <c r="AC12" s="371"/>
      <c r="AD12" s="371"/>
      <c r="AE12" s="371"/>
      <c r="AF12" s="371"/>
      <c r="AG12" s="372"/>
      <c r="AH12" s="46"/>
    </row>
    <row r="13" spans="1:35" s="77" customFormat="1" ht="31.5" customHeight="1" x14ac:dyDescent="0.25">
      <c r="A13" s="373" t="s">
        <v>50</v>
      </c>
      <c r="B13" s="361" t="s">
        <v>53</v>
      </c>
      <c r="C13" s="57" t="s">
        <v>20</v>
      </c>
      <c r="D13" s="58">
        <f>D15+D16+D14</f>
        <v>801641.33000000007</v>
      </c>
      <c r="E13" s="58">
        <f>E15+E16+E14</f>
        <v>88064.99</v>
      </c>
      <c r="F13" s="58">
        <f t="shared" ref="F13:J13" si="9">F15+F16+F14</f>
        <v>70184.990000000005</v>
      </c>
      <c r="G13" s="58">
        <f t="shared" si="9"/>
        <v>70184.990000000005</v>
      </c>
      <c r="H13" s="58">
        <f t="shared" ref="H13:H14" si="10">IFERROR(G13/D13*100,0)</f>
        <v>8.7551611142604138</v>
      </c>
      <c r="I13" s="58">
        <f t="shared" ref="I13:I14" si="11">IFERROR(G13/E13*100,0)</f>
        <v>79.696812547188173</v>
      </c>
      <c r="J13" s="58">
        <f t="shared" si="9"/>
        <v>0</v>
      </c>
      <c r="K13" s="58">
        <f t="shared" ref="K13" si="12">K15+K16+K14</f>
        <v>0</v>
      </c>
      <c r="L13" s="58">
        <f t="shared" ref="L13" si="13">L15+L16+L14</f>
        <v>0</v>
      </c>
      <c r="M13" s="58">
        <f t="shared" ref="M13" si="14">M15+M16+M14</f>
        <v>0</v>
      </c>
      <c r="N13" s="58">
        <f t="shared" ref="N13" si="15">N15+N16+N14</f>
        <v>884.99</v>
      </c>
      <c r="O13" s="58">
        <f t="shared" ref="O13" si="16">O15+O16+O14</f>
        <v>884.99</v>
      </c>
      <c r="P13" s="58">
        <f t="shared" ref="P13" si="17">P15+P16+P14</f>
        <v>87180</v>
      </c>
      <c r="Q13" s="58">
        <f t="shared" ref="Q13" si="18">Q15+Q16+Q14</f>
        <v>69300</v>
      </c>
      <c r="R13" s="58">
        <f t="shared" ref="R13" si="19">R15+R16+R14</f>
        <v>89400</v>
      </c>
      <c r="S13" s="58">
        <f t="shared" ref="S13" si="20">S15+S16+S14</f>
        <v>0</v>
      </c>
      <c r="T13" s="58">
        <f t="shared" ref="T13" si="21">T15+T16+T14</f>
        <v>0</v>
      </c>
      <c r="U13" s="58">
        <f t="shared" ref="U13" si="22">U15+U16+U14</f>
        <v>0</v>
      </c>
      <c r="V13" s="58">
        <f t="shared" ref="V13" si="23">V15+V16+V14</f>
        <v>0</v>
      </c>
      <c r="W13" s="58">
        <f t="shared" ref="W13" si="24">W15+W16+W14</f>
        <v>0</v>
      </c>
      <c r="X13" s="58">
        <f t="shared" ref="X13" si="25">X15+X16+X14</f>
        <v>0</v>
      </c>
      <c r="Y13" s="58">
        <f t="shared" ref="Y13" si="26">Y15+Y16+Y14</f>
        <v>0</v>
      </c>
      <c r="Z13" s="58">
        <f t="shared" ref="Z13" si="27">Z15+Z16+Z14</f>
        <v>334582.67</v>
      </c>
      <c r="AA13" s="58">
        <f t="shared" ref="AA13" si="28">AA15+AA16+AA14</f>
        <v>0</v>
      </c>
      <c r="AB13" s="58">
        <f t="shared" ref="AB13" si="29">AB15+AB16+AB14</f>
        <v>260969.16999999998</v>
      </c>
      <c r="AC13" s="58">
        <f t="shared" ref="AC13" si="30">AC15+AC16+AC14</f>
        <v>0</v>
      </c>
      <c r="AD13" s="58">
        <f t="shared" ref="AD13" si="31">AD15+AD16+AD14</f>
        <v>28624.5</v>
      </c>
      <c r="AE13" s="58">
        <f t="shared" ref="AE13" si="32">AE15+AE16+AE14</f>
        <v>0</v>
      </c>
      <c r="AF13" s="58">
        <f t="shared" ref="AF13" si="33">AF15+AF16+AF14</f>
        <v>0</v>
      </c>
      <c r="AG13" s="58">
        <f t="shared" ref="AG13" si="34">AG15+AG16+AG14</f>
        <v>0</v>
      </c>
      <c r="AH13" s="60"/>
      <c r="AI13" s="76"/>
    </row>
    <row r="14" spans="1:35" s="77" customFormat="1" ht="42.75" customHeight="1" x14ac:dyDescent="0.25">
      <c r="A14" s="374"/>
      <c r="B14" s="362"/>
      <c r="C14" s="61" t="s">
        <v>52</v>
      </c>
      <c r="D14" s="62">
        <f>SUM(J14,L14,N14,P14,R14,T14,V14,X14,Z14,AB14,AD14,AF14)</f>
        <v>103776.4</v>
      </c>
      <c r="E14" s="62">
        <f>J14</f>
        <v>0</v>
      </c>
      <c r="F14" s="62">
        <f>G14</f>
        <v>0</v>
      </c>
      <c r="G14" s="62">
        <f>SUM(K14,M14,O14,Q14,S14,U14,W14,Y14,AA14,AC14,AE14,AG14)</f>
        <v>0</v>
      </c>
      <c r="H14" s="62">
        <f t="shared" si="10"/>
        <v>0</v>
      </c>
      <c r="I14" s="62">
        <f t="shared" si="11"/>
        <v>0</v>
      </c>
      <c r="J14" s="62">
        <v>0</v>
      </c>
      <c r="K14" s="62">
        <v>0</v>
      </c>
      <c r="L14" s="62">
        <v>0</v>
      </c>
      <c r="M14" s="62">
        <v>0</v>
      </c>
      <c r="N14" s="62">
        <v>0</v>
      </c>
      <c r="O14" s="62">
        <v>0</v>
      </c>
      <c r="P14" s="62">
        <v>0</v>
      </c>
      <c r="Q14" s="62">
        <v>0</v>
      </c>
      <c r="R14" s="62">
        <v>70804.78</v>
      </c>
      <c r="S14" s="62">
        <v>0</v>
      </c>
      <c r="T14" s="62">
        <v>0</v>
      </c>
      <c r="U14" s="62">
        <v>0</v>
      </c>
      <c r="V14" s="62">
        <v>0</v>
      </c>
      <c r="W14" s="62">
        <v>0</v>
      </c>
      <c r="X14" s="62">
        <v>0</v>
      </c>
      <c r="Y14" s="62">
        <v>0</v>
      </c>
      <c r="Z14" s="62">
        <v>32971.620000000003</v>
      </c>
      <c r="AA14" s="62">
        <v>0</v>
      </c>
      <c r="AB14" s="62">
        <v>0</v>
      </c>
      <c r="AC14" s="62">
        <v>0</v>
      </c>
      <c r="AD14" s="62">
        <v>0</v>
      </c>
      <c r="AE14" s="62">
        <v>0</v>
      </c>
      <c r="AF14" s="62">
        <v>0</v>
      </c>
      <c r="AG14" s="62">
        <v>0</v>
      </c>
      <c r="AH14" s="146" t="s">
        <v>365</v>
      </c>
      <c r="AI14" s="76"/>
    </row>
    <row r="15" spans="1:35" s="77" customFormat="1" ht="57" customHeight="1" x14ac:dyDescent="0.25">
      <c r="A15" s="374"/>
      <c r="B15" s="362"/>
      <c r="C15" s="61" t="s">
        <v>22</v>
      </c>
      <c r="D15" s="62">
        <f>SUM(J15,L15,N15,P15,R15,T15,V15,X15,Z15,AB15,AD15,AF15)</f>
        <v>84419.4</v>
      </c>
      <c r="E15" s="62">
        <f>J15</f>
        <v>0</v>
      </c>
      <c r="F15" s="62">
        <f>G15</f>
        <v>0</v>
      </c>
      <c r="G15" s="62">
        <f>SUM(K15,M15,O15,Q15,S15,U15,W15,Y15,AA15,AC15,AE15,AG15)</f>
        <v>0</v>
      </c>
      <c r="H15" s="62">
        <f t="shared" ref="H15:H22" si="35">IFERROR(G15/D15*100,0)</f>
        <v>0</v>
      </c>
      <c r="I15" s="62">
        <f t="shared" ref="I15:I22" si="36">IFERROR(G15/E15*100,0)</f>
        <v>0</v>
      </c>
      <c r="J15" s="63">
        <v>0</v>
      </c>
      <c r="K15" s="63">
        <v>0</v>
      </c>
      <c r="L15" s="63">
        <v>0</v>
      </c>
      <c r="M15" s="63">
        <v>0</v>
      </c>
      <c r="N15" s="63">
        <v>0</v>
      </c>
      <c r="O15" s="63">
        <v>0</v>
      </c>
      <c r="P15" s="63">
        <v>0</v>
      </c>
      <c r="Q15" s="63">
        <v>0</v>
      </c>
      <c r="R15" s="63">
        <v>715.22</v>
      </c>
      <c r="S15" s="63">
        <v>0</v>
      </c>
      <c r="T15" s="63">
        <v>0</v>
      </c>
      <c r="U15" s="63">
        <v>0</v>
      </c>
      <c r="V15" s="63">
        <v>0</v>
      </c>
      <c r="W15" s="63">
        <v>0</v>
      </c>
      <c r="X15" s="63">
        <v>0</v>
      </c>
      <c r="Y15" s="63">
        <v>0</v>
      </c>
      <c r="Z15" s="63">
        <v>11100</v>
      </c>
      <c r="AA15" s="63">
        <v>0</v>
      </c>
      <c r="AB15" s="63">
        <v>72604.179999999993</v>
      </c>
      <c r="AC15" s="63">
        <v>0</v>
      </c>
      <c r="AD15" s="63">
        <v>0</v>
      </c>
      <c r="AE15" s="63">
        <v>0</v>
      </c>
      <c r="AF15" s="63">
        <v>0</v>
      </c>
      <c r="AG15" s="63">
        <v>0</v>
      </c>
      <c r="AH15" s="60"/>
      <c r="AI15" s="76"/>
    </row>
    <row r="16" spans="1:35" s="50" customFormat="1" ht="41.25" customHeight="1" x14ac:dyDescent="0.25">
      <c r="A16" s="375"/>
      <c r="B16" s="363"/>
      <c r="C16" s="61" t="s">
        <v>21</v>
      </c>
      <c r="D16" s="62">
        <f>SUM(J16,L16,N16,P16,R16,T16,V16,X16,Z16,AB16,AD16,AF16)</f>
        <v>613445.53</v>
      </c>
      <c r="E16" s="62">
        <f>J16+L16+N16+P16</f>
        <v>88064.99</v>
      </c>
      <c r="F16" s="62">
        <f>G16</f>
        <v>70184.990000000005</v>
      </c>
      <c r="G16" s="62">
        <f>SUM(K16,M16,O16,Q16,S16,U16,W16,Y16,AA16,AC16,AE16,AG16)</f>
        <v>70184.990000000005</v>
      </c>
      <c r="H16" s="62">
        <f t="shared" si="35"/>
        <v>11.441111976152145</v>
      </c>
      <c r="I16" s="62">
        <f t="shared" si="36"/>
        <v>79.696812547188173</v>
      </c>
      <c r="J16" s="67">
        <v>0</v>
      </c>
      <c r="K16" s="67">
        <v>0</v>
      </c>
      <c r="L16" s="67">
        <v>0</v>
      </c>
      <c r="M16" s="67">
        <v>0</v>
      </c>
      <c r="N16" s="67">
        <v>884.99</v>
      </c>
      <c r="O16" s="67">
        <v>884.99</v>
      </c>
      <c r="P16" s="67">
        <v>87180</v>
      </c>
      <c r="Q16" s="67">
        <v>69300</v>
      </c>
      <c r="R16" s="67">
        <v>17880</v>
      </c>
      <c r="S16" s="67">
        <v>0</v>
      </c>
      <c r="T16" s="67">
        <v>0</v>
      </c>
      <c r="U16" s="67">
        <v>0</v>
      </c>
      <c r="V16" s="67">
        <v>0</v>
      </c>
      <c r="W16" s="67">
        <v>0</v>
      </c>
      <c r="X16" s="67">
        <v>0</v>
      </c>
      <c r="Y16" s="67">
        <v>0</v>
      </c>
      <c r="Z16" s="67">
        <v>290511.05</v>
      </c>
      <c r="AA16" s="67">
        <v>0</v>
      </c>
      <c r="AB16" s="67">
        <v>188364.99</v>
      </c>
      <c r="AC16" s="67">
        <v>0</v>
      </c>
      <c r="AD16" s="67">
        <v>28624.5</v>
      </c>
      <c r="AE16" s="67">
        <v>0</v>
      </c>
      <c r="AF16" s="67">
        <v>0</v>
      </c>
      <c r="AG16" s="67">
        <v>0</v>
      </c>
      <c r="AH16" s="64"/>
      <c r="AI16" s="49"/>
    </row>
    <row r="17" spans="1:35" s="50" customFormat="1" ht="41.25" customHeight="1" x14ac:dyDescent="0.25">
      <c r="A17" s="333" t="s">
        <v>361</v>
      </c>
      <c r="B17" s="334" t="s">
        <v>367</v>
      </c>
      <c r="C17" s="57" t="s">
        <v>20</v>
      </c>
      <c r="D17" s="58">
        <f>D18</f>
        <v>26168</v>
      </c>
      <c r="E17" s="58">
        <f>E18</f>
        <v>0</v>
      </c>
      <c r="F17" s="58">
        <f t="shared" ref="F17:G17" si="37">F19+F20+F18</f>
        <v>1980</v>
      </c>
      <c r="G17" s="58">
        <f t="shared" si="37"/>
        <v>1980</v>
      </c>
      <c r="H17" s="58">
        <f t="shared" si="35"/>
        <v>7.5664934270865185</v>
      </c>
      <c r="I17" s="58">
        <f t="shared" si="36"/>
        <v>0</v>
      </c>
      <c r="J17" s="58">
        <f t="shared" ref="J17:AG17" si="38">J19+J20+J18</f>
        <v>0</v>
      </c>
      <c r="K17" s="58">
        <f t="shared" si="38"/>
        <v>0</v>
      </c>
      <c r="L17" s="58">
        <f t="shared" si="38"/>
        <v>0</v>
      </c>
      <c r="M17" s="58">
        <f t="shared" si="38"/>
        <v>0</v>
      </c>
      <c r="N17" s="58">
        <f t="shared" si="38"/>
        <v>0</v>
      </c>
      <c r="O17" s="58">
        <f t="shared" si="38"/>
        <v>0</v>
      </c>
      <c r="P17" s="58">
        <f t="shared" si="38"/>
        <v>1980</v>
      </c>
      <c r="Q17" s="58">
        <f t="shared" si="38"/>
        <v>1980</v>
      </c>
      <c r="R17" s="58">
        <f t="shared" si="38"/>
        <v>0</v>
      </c>
      <c r="S17" s="58">
        <f t="shared" si="38"/>
        <v>0</v>
      </c>
      <c r="T17" s="58">
        <f t="shared" si="38"/>
        <v>0</v>
      </c>
      <c r="U17" s="58">
        <f t="shared" si="38"/>
        <v>0</v>
      </c>
      <c r="V17" s="58">
        <f t="shared" si="38"/>
        <v>0</v>
      </c>
      <c r="W17" s="58">
        <f t="shared" si="38"/>
        <v>0</v>
      </c>
      <c r="X17" s="58">
        <f t="shared" si="38"/>
        <v>0</v>
      </c>
      <c r="Y17" s="58">
        <f t="shared" si="38"/>
        <v>0</v>
      </c>
      <c r="Z17" s="58">
        <f t="shared" si="38"/>
        <v>5100</v>
      </c>
      <c r="AA17" s="58">
        <f t="shared" si="38"/>
        <v>0</v>
      </c>
      <c r="AB17" s="58">
        <f>AB18</f>
        <v>26168</v>
      </c>
      <c r="AC17" s="58">
        <f t="shared" si="38"/>
        <v>0</v>
      </c>
      <c r="AD17" s="58">
        <f t="shared" si="38"/>
        <v>0</v>
      </c>
      <c r="AE17" s="58">
        <f t="shared" si="38"/>
        <v>0</v>
      </c>
      <c r="AF17" s="58">
        <f t="shared" si="38"/>
        <v>0</v>
      </c>
      <c r="AG17" s="58">
        <f t="shared" si="38"/>
        <v>0</v>
      </c>
      <c r="AH17" s="337" t="s">
        <v>362</v>
      </c>
      <c r="AI17" s="49"/>
    </row>
    <row r="18" spans="1:35" s="50" customFormat="1" ht="41.25" customHeight="1" x14ac:dyDescent="0.25">
      <c r="A18" s="333"/>
      <c r="B18" s="334"/>
      <c r="C18" s="335" t="s">
        <v>21</v>
      </c>
      <c r="D18" s="62">
        <f>SUM(J18,L18,N18,P18,R18,T18,V18,X18,Z18,AB18,AD18,AF18)</f>
        <v>26168</v>
      </c>
      <c r="E18" s="62">
        <f>J18+L18+N18+P18</f>
        <v>0</v>
      </c>
      <c r="F18" s="62">
        <f>G18</f>
        <v>0</v>
      </c>
      <c r="G18" s="62">
        <f>SUM(K18,M18,O18,Q18,S18,U18,W18,Y18,AA18,AC18,AE18,AG18)</f>
        <v>0</v>
      </c>
      <c r="H18" s="62">
        <f>IFERROR(G18/D18*100,0)</f>
        <v>0</v>
      </c>
      <c r="I18" s="62">
        <f t="shared" ref="I18" si="39">IFERROR(G18/E18*100,0)</f>
        <v>0</v>
      </c>
      <c r="J18" s="62">
        <v>0</v>
      </c>
      <c r="K18" s="62">
        <v>0</v>
      </c>
      <c r="L18" s="62">
        <v>0</v>
      </c>
      <c r="M18" s="62">
        <v>0</v>
      </c>
      <c r="N18" s="62">
        <v>0</v>
      </c>
      <c r="O18" s="62">
        <v>0</v>
      </c>
      <c r="P18" s="62">
        <v>0</v>
      </c>
      <c r="Q18" s="62">
        <v>0</v>
      </c>
      <c r="R18" s="62">
        <v>0</v>
      </c>
      <c r="S18" s="62">
        <v>0</v>
      </c>
      <c r="T18" s="62">
        <v>0</v>
      </c>
      <c r="U18" s="62">
        <v>0</v>
      </c>
      <c r="V18" s="62">
        <v>0</v>
      </c>
      <c r="W18" s="62">
        <v>0</v>
      </c>
      <c r="X18" s="62">
        <v>0</v>
      </c>
      <c r="Y18" s="62">
        <v>0</v>
      </c>
      <c r="Z18" s="62">
        <v>0</v>
      </c>
      <c r="AA18" s="62">
        <v>0</v>
      </c>
      <c r="AB18" s="62">
        <v>26168</v>
      </c>
      <c r="AC18" s="62">
        <v>0</v>
      </c>
      <c r="AD18" s="62">
        <v>0</v>
      </c>
      <c r="AE18" s="62">
        <v>0</v>
      </c>
      <c r="AF18" s="62">
        <v>0</v>
      </c>
      <c r="AG18" s="62">
        <v>0</v>
      </c>
      <c r="AH18" s="64"/>
      <c r="AI18" s="49"/>
    </row>
    <row r="19" spans="1:35" s="50" customFormat="1" ht="132.75" customHeight="1" x14ac:dyDescent="0.25">
      <c r="A19" s="379" t="s">
        <v>37</v>
      </c>
      <c r="B19" s="361" t="s">
        <v>364</v>
      </c>
      <c r="C19" s="57" t="s">
        <v>20</v>
      </c>
      <c r="D19" s="58">
        <f>D20</f>
        <v>69492.800000000003</v>
      </c>
      <c r="E19" s="58">
        <f t="shared" ref="E19:G19" si="40">E20</f>
        <v>990</v>
      </c>
      <c r="F19" s="58">
        <f t="shared" si="40"/>
        <v>990</v>
      </c>
      <c r="G19" s="58">
        <f t="shared" si="40"/>
        <v>990</v>
      </c>
      <c r="H19" s="58">
        <f t="shared" si="35"/>
        <v>1.4246080169456403</v>
      </c>
      <c r="I19" s="58">
        <f t="shared" si="36"/>
        <v>100</v>
      </c>
      <c r="J19" s="59">
        <f>J20</f>
        <v>0</v>
      </c>
      <c r="K19" s="59">
        <f t="shared" ref="K19:AG19" si="41">K20</f>
        <v>0</v>
      </c>
      <c r="L19" s="59">
        <f t="shared" si="41"/>
        <v>0</v>
      </c>
      <c r="M19" s="59">
        <f t="shared" si="41"/>
        <v>0</v>
      </c>
      <c r="N19" s="59">
        <f t="shared" si="41"/>
        <v>0</v>
      </c>
      <c r="O19" s="59">
        <f t="shared" si="41"/>
        <v>0</v>
      </c>
      <c r="P19" s="59">
        <f t="shared" si="41"/>
        <v>990</v>
      </c>
      <c r="Q19" s="59">
        <f t="shared" si="41"/>
        <v>990</v>
      </c>
      <c r="R19" s="59">
        <f t="shared" si="41"/>
        <v>0</v>
      </c>
      <c r="S19" s="59">
        <f t="shared" si="41"/>
        <v>0</v>
      </c>
      <c r="T19" s="59">
        <f t="shared" si="41"/>
        <v>0</v>
      </c>
      <c r="U19" s="59">
        <f t="shared" si="41"/>
        <v>0</v>
      </c>
      <c r="V19" s="59">
        <f t="shared" si="41"/>
        <v>0</v>
      </c>
      <c r="W19" s="59">
        <f t="shared" si="41"/>
        <v>0</v>
      </c>
      <c r="X19" s="59">
        <f t="shared" si="41"/>
        <v>0</v>
      </c>
      <c r="Y19" s="59">
        <f t="shared" si="41"/>
        <v>0</v>
      </c>
      <c r="Z19" s="59">
        <f t="shared" si="41"/>
        <v>2550</v>
      </c>
      <c r="AA19" s="59">
        <f t="shared" si="41"/>
        <v>0</v>
      </c>
      <c r="AB19" s="59">
        <f t="shared" si="41"/>
        <v>65952.800000000003</v>
      </c>
      <c r="AC19" s="59">
        <f t="shared" si="41"/>
        <v>0</v>
      </c>
      <c r="AD19" s="59">
        <f t="shared" si="41"/>
        <v>0</v>
      </c>
      <c r="AE19" s="59">
        <f t="shared" si="41"/>
        <v>0</v>
      </c>
      <c r="AF19" s="59">
        <f t="shared" si="41"/>
        <v>0</v>
      </c>
      <c r="AG19" s="59">
        <f t="shared" si="41"/>
        <v>0</v>
      </c>
      <c r="AH19" s="144" t="s">
        <v>366</v>
      </c>
      <c r="AI19" s="49"/>
    </row>
    <row r="20" spans="1:35" s="50" customFormat="1" ht="138.75" customHeight="1" x14ac:dyDescent="0.25">
      <c r="A20" s="374"/>
      <c r="B20" s="362"/>
      <c r="C20" s="61" t="s">
        <v>21</v>
      </c>
      <c r="D20" s="62">
        <f>SUM(J20,L20,N20,P20,R20,T20,V20,X20,Z20,AB20,AD20,AF20)</f>
        <v>69492.800000000003</v>
      </c>
      <c r="E20" s="62">
        <f>J20+L20+N20+P20</f>
        <v>990</v>
      </c>
      <c r="F20" s="62">
        <f>G20</f>
        <v>990</v>
      </c>
      <c r="G20" s="62">
        <f>SUM(K20,M20,O20,Q20,S20,U20,W20,Y20,AA20,AC20,AE20,AG20)</f>
        <v>990</v>
      </c>
      <c r="H20" s="62">
        <f t="shared" si="35"/>
        <v>1.4246080169456403</v>
      </c>
      <c r="I20" s="62">
        <f t="shared" si="36"/>
        <v>100</v>
      </c>
      <c r="J20" s="63">
        <v>0</v>
      </c>
      <c r="K20" s="63">
        <v>0</v>
      </c>
      <c r="L20" s="63">
        <v>0</v>
      </c>
      <c r="M20" s="63">
        <v>0</v>
      </c>
      <c r="N20" s="63">
        <v>0</v>
      </c>
      <c r="O20" s="63">
        <v>0</v>
      </c>
      <c r="P20" s="63">
        <v>990</v>
      </c>
      <c r="Q20" s="63">
        <v>990</v>
      </c>
      <c r="R20" s="63">
        <v>0</v>
      </c>
      <c r="S20" s="63">
        <v>0</v>
      </c>
      <c r="T20" s="63">
        <v>0</v>
      </c>
      <c r="U20" s="63">
        <v>0</v>
      </c>
      <c r="V20" s="63">
        <v>0</v>
      </c>
      <c r="W20" s="63">
        <v>0</v>
      </c>
      <c r="X20" s="63">
        <v>0</v>
      </c>
      <c r="Y20" s="63">
        <v>0</v>
      </c>
      <c r="Z20" s="63">
        <v>2550</v>
      </c>
      <c r="AA20" s="63">
        <v>0</v>
      </c>
      <c r="AB20" s="63">
        <v>65952.800000000003</v>
      </c>
      <c r="AC20" s="63">
        <v>0</v>
      </c>
      <c r="AD20" s="63">
        <v>0</v>
      </c>
      <c r="AE20" s="63">
        <v>0</v>
      </c>
      <c r="AF20" s="63">
        <v>0</v>
      </c>
      <c r="AG20" s="63">
        <v>0</v>
      </c>
      <c r="AH20" s="60"/>
      <c r="AI20" s="49"/>
    </row>
    <row r="21" spans="1:35" s="50" customFormat="1" ht="92.25" customHeight="1" x14ac:dyDescent="0.25">
      <c r="A21" s="379" t="s">
        <v>51</v>
      </c>
      <c r="B21" s="361" t="s">
        <v>363</v>
      </c>
      <c r="C21" s="57" t="s">
        <v>20</v>
      </c>
      <c r="D21" s="58">
        <f>SUM(J21,L21,N21,P21,R21,T21,V21,X21,Z21,AB21,AD21,AF21)</f>
        <v>15000</v>
      </c>
      <c r="E21" s="58">
        <f t="shared" ref="E21:G21" si="42">E22</f>
        <v>0</v>
      </c>
      <c r="F21" s="58">
        <f t="shared" si="42"/>
        <v>0</v>
      </c>
      <c r="G21" s="58">
        <f t="shared" si="42"/>
        <v>0</v>
      </c>
      <c r="H21" s="58">
        <f t="shared" si="35"/>
        <v>0</v>
      </c>
      <c r="I21" s="58">
        <f t="shared" si="36"/>
        <v>0</v>
      </c>
      <c r="J21" s="59">
        <f>J22</f>
        <v>0</v>
      </c>
      <c r="K21" s="59">
        <f t="shared" ref="K21:AG21" si="43">K22</f>
        <v>0</v>
      </c>
      <c r="L21" s="59">
        <f t="shared" si="43"/>
        <v>0</v>
      </c>
      <c r="M21" s="59">
        <f t="shared" si="43"/>
        <v>0</v>
      </c>
      <c r="N21" s="59">
        <f t="shared" si="43"/>
        <v>0</v>
      </c>
      <c r="O21" s="59">
        <f t="shared" si="43"/>
        <v>0</v>
      </c>
      <c r="P21" s="59">
        <f t="shared" si="43"/>
        <v>0</v>
      </c>
      <c r="Q21" s="59">
        <f t="shared" si="43"/>
        <v>0</v>
      </c>
      <c r="R21" s="59">
        <f t="shared" si="43"/>
        <v>0</v>
      </c>
      <c r="S21" s="59">
        <f t="shared" si="43"/>
        <v>0</v>
      </c>
      <c r="T21" s="59">
        <f t="shared" si="43"/>
        <v>0</v>
      </c>
      <c r="U21" s="59">
        <f t="shared" si="43"/>
        <v>0</v>
      </c>
      <c r="V21" s="59">
        <f t="shared" si="43"/>
        <v>0</v>
      </c>
      <c r="W21" s="59">
        <f t="shared" si="43"/>
        <v>0</v>
      </c>
      <c r="X21" s="59">
        <f t="shared" si="43"/>
        <v>0</v>
      </c>
      <c r="Y21" s="59">
        <f t="shared" si="43"/>
        <v>0</v>
      </c>
      <c r="Z21" s="59">
        <f t="shared" si="43"/>
        <v>0</v>
      </c>
      <c r="AA21" s="59">
        <f t="shared" si="43"/>
        <v>0</v>
      </c>
      <c r="AB21" s="59">
        <f t="shared" si="43"/>
        <v>15000</v>
      </c>
      <c r="AC21" s="59">
        <f t="shared" si="43"/>
        <v>0</v>
      </c>
      <c r="AD21" s="59">
        <f t="shared" si="43"/>
        <v>0</v>
      </c>
      <c r="AE21" s="59">
        <f t="shared" si="43"/>
        <v>0</v>
      </c>
      <c r="AF21" s="59">
        <f t="shared" si="43"/>
        <v>0</v>
      </c>
      <c r="AG21" s="59">
        <f t="shared" si="43"/>
        <v>0</v>
      </c>
      <c r="AH21" s="146" t="s">
        <v>341</v>
      </c>
      <c r="AI21" s="49"/>
    </row>
    <row r="22" spans="1:35" s="50" customFormat="1" ht="101.25" customHeight="1" x14ac:dyDescent="0.25">
      <c r="A22" s="374"/>
      <c r="B22" s="362"/>
      <c r="C22" s="61" t="s">
        <v>21</v>
      </c>
      <c r="D22" s="62">
        <f>SUM(J22,L22,N22,P22,R22,T22,V22,X22,Z22,AB22,AD22,AF22)</f>
        <v>15000</v>
      </c>
      <c r="E22" s="62">
        <f>J22+L22+N22</f>
        <v>0</v>
      </c>
      <c r="F22" s="62">
        <f>G22</f>
        <v>0</v>
      </c>
      <c r="G22" s="62">
        <f>SUM(K22,M22,O22,Q22,S22,U22,W22,Y22,AA22,AC22,AE22,AG22)</f>
        <v>0</v>
      </c>
      <c r="H22" s="62">
        <f t="shared" si="35"/>
        <v>0</v>
      </c>
      <c r="I22" s="62">
        <f t="shared" si="36"/>
        <v>0</v>
      </c>
      <c r="J22" s="63">
        <v>0</v>
      </c>
      <c r="K22" s="63">
        <v>0</v>
      </c>
      <c r="L22" s="63">
        <v>0</v>
      </c>
      <c r="M22" s="63">
        <v>0</v>
      </c>
      <c r="N22" s="63">
        <v>0</v>
      </c>
      <c r="O22" s="63">
        <v>0</v>
      </c>
      <c r="P22" s="63">
        <v>0</v>
      </c>
      <c r="Q22" s="63">
        <v>0</v>
      </c>
      <c r="R22" s="63">
        <v>0</v>
      </c>
      <c r="S22" s="63">
        <v>0</v>
      </c>
      <c r="T22" s="63">
        <v>0</v>
      </c>
      <c r="U22" s="63">
        <v>0</v>
      </c>
      <c r="V22" s="63">
        <v>0</v>
      </c>
      <c r="W22" s="63">
        <v>0</v>
      </c>
      <c r="X22" s="63">
        <v>0</v>
      </c>
      <c r="Y22" s="63">
        <v>0</v>
      </c>
      <c r="Z22" s="63">
        <v>0</v>
      </c>
      <c r="AA22" s="63">
        <v>0</v>
      </c>
      <c r="AB22" s="63">
        <v>15000</v>
      </c>
      <c r="AC22" s="63">
        <v>0</v>
      </c>
      <c r="AD22" s="63">
        <v>0</v>
      </c>
      <c r="AE22" s="63">
        <v>0</v>
      </c>
      <c r="AF22" s="63">
        <v>0</v>
      </c>
      <c r="AG22" s="63">
        <v>0</v>
      </c>
      <c r="AH22" s="60"/>
      <c r="AI22" s="49"/>
    </row>
    <row r="23" spans="1:35" s="80" customFormat="1" ht="21" customHeight="1" x14ac:dyDescent="0.25">
      <c r="A23" s="78"/>
      <c r="B23" s="417" t="s">
        <v>54</v>
      </c>
      <c r="C23" s="418"/>
      <c r="D23" s="418"/>
      <c r="E23" s="418"/>
      <c r="F23" s="418"/>
      <c r="G23" s="418"/>
      <c r="H23" s="418"/>
      <c r="I23" s="418"/>
      <c r="J23" s="418"/>
      <c r="K23" s="418"/>
      <c r="L23" s="418"/>
      <c r="M23" s="418"/>
      <c r="N23" s="418"/>
      <c r="O23" s="418"/>
      <c r="P23" s="418"/>
      <c r="Q23" s="418"/>
      <c r="R23" s="418"/>
      <c r="S23" s="418"/>
      <c r="T23" s="418"/>
      <c r="U23" s="418"/>
      <c r="V23" s="418"/>
      <c r="W23" s="418"/>
      <c r="X23" s="418"/>
      <c r="Y23" s="418"/>
      <c r="Z23" s="418"/>
      <c r="AA23" s="418"/>
      <c r="AB23" s="418"/>
      <c r="AC23" s="418"/>
      <c r="AD23" s="418"/>
      <c r="AE23" s="418"/>
      <c r="AF23" s="418"/>
      <c r="AG23" s="419"/>
      <c r="AH23" s="52"/>
      <c r="AI23" s="79"/>
    </row>
    <row r="24" spans="1:35" s="42" customFormat="1" ht="30.75" customHeight="1" x14ac:dyDescent="0.25">
      <c r="A24" s="420" t="s">
        <v>55</v>
      </c>
      <c r="B24" s="423" t="s">
        <v>56</v>
      </c>
      <c r="C24" s="81" t="s">
        <v>20</v>
      </c>
      <c r="D24" s="82">
        <f>D25+D26</f>
        <v>0</v>
      </c>
      <c r="E24" s="82">
        <f t="shared" ref="E24:G24" si="44">E25+E26</f>
        <v>0</v>
      </c>
      <c r="F24" s="82">
        <f t="shared" si="44"/>
        <v>0</v>
      </c>
      <c r="G24" s="82">
        <f t="shared" si="44"/>
        <v>0</v>
      </c>
      <c r="H24" s="82">
        <f>IFERROR(G24/D24*100,0)</f>
        <v>0</v>
      </c>
      <c r="I24" s="82">
        <f>IFERROR(G24/E24*100,0)</f>
        <v>0</v>
      </c>
      <c r="J24" s="83">
        <f t="shared" ref="J24:AG24" si="45">SUM(J26:J26)</f>
        <v>0</v>
      </c>
      <c r="K24" s="83">
        <f t="shared" si="45"/>
        <v>0</v>
      </c>
      <c r="L24" s="83">
        <f t="shared" si="45"/>
        <v>0</v>
      </c>
      <c r="M24" s="83">
        <f t="shared" si="45"/>
        <v>0</v>
      </c>
      <c r="N24" s="83">
        <f t="shared" si="45"/>
        <v>0</v>
      </c>
      <c r="O24" s="83">
        <f t="shared" si="45"/>
        <v>0</v>
      </c>
      <c r="P24" s="83">
        <f t="shared" si="45"/>
        <v>0</v>
      </c>
      <c r="Q24" s="83">
        <f t="shared" si="45"/>
        <v>0</v>
      </c>
      <c r="R24" s="83">
        <f t="shared" si="45"/>
        <v>0</v>
      </c>
      <c r="S24" s="83">
        <f t="shared" si="45"/>
        <v>0</v>
      </c>
      <c r="T24" s="83">
        <f t="shared" si="45"/>
        <v>0</v>
      </c>
      <c r="U24" s="83">
        <f t="shared" si="45"/>
        <v>0</v>
      </c>
      <c r="V24" s="83">
        <f t="shared" si="45"/>
        <v>0</v>
      </c>
      <c r="W24" s="83">
        <f t="shared" si="45"/>
        <v>0</v>
      </c>
      <c r="X24" s="83">
        <f t="shared" si="45"/>
        <v>0</v>
      </c>
      <c r="Y24" s="83">
        <f t="shared" si="45"/>
        <v>0</v>
      </c>
      <c r="Z24" s="83">
        <f t="shared" si="45"/>
        <v>0</v>
      </c>
      <c r="AA24" s="83">
        <f t="shared" si="45"/>
        <v>0</v>
      </c>
      <c r="AB24" s="83">
        <f t="shared" si="45"/>
        <v>0</v>
      </c>
      <c r="AC24" s="83">
        <f t="shared" si="45"/>
        <v>0</v>
      </c>
      <c r="AD24" s="83">
        <f t="shared" si="45"/>
        <v>0</v>
      </c>
      <c r="AE24" s="83">
        <f t="shared" si="45"/>
        <v>0</v>
      </c>
      <c r="AF24" s="83">
        <f t="shared" si="45"/>
        <v>0</v>
      </c>
      <c r="AG24" s="83">
        <f t="shared" si="45"/>
        <v>0</v>
      </c>
      <c r="AH24" s="84"/>
      <c r="AI24" s="51"/>
    </row>
    <row r="25" spans="1:35" s="44" customFormat="1" ht="55.5" customHeight="1" x14ac:dyDescent="0.25">
      <c r="A25" s="421"/>
      <c r="B25" s="424"/>
      <c r="C25" s="65" t="s">
        <v>22</v>
      </c>
      <c r="D25" s="85">
        <f>SUM(J25,L25,N25,P25,R25,T25,V25,X25,Z25,AB25,AD25,AF25)</f>
        <v>0</v>
      </c>
      <c r="E25" s="85">
        <f>J25</f>
        <v>0</v>
      </c>
      <c r="F25" s="85">
        <f>G25</f>
        <v>0</v>
      </c>
      <c r="G25" s="85">
        <f>SUM(K25,M25,O25,Q25,S25,U25,W25,Y25,AA25,AC25,AE25,AG25)</f>
        <v>0</v>
      </c>
      <c r="H25" s="85">
        <f>IFERROR(G25/D25*100,0)</f>
        <v>0</v>
      </c>
      <c r="I25" s="85">
        <f>IFERROR(G25/E25*100,0)</f>
        <v>0</v>
      </c>
      <c r="J25" s="86">
        <v>0</v>
      </c>
      <c r="K25" s="86">
        <v>0</v>
      </c>
      <c r="L25" s="86">
        <v>0</v>
      </c>
      <c r="M25" s="86">
        <v>0</v>
      </c>
      <c r="N25" s="86">
        <v>0</v>
      </c>
      <c r="O25" s="86">
        <v>0</v>
      </c>
      <c r="P25" s="86">
        <v>0</v>
      </c>
      <c r="Q25" s="86">
        <v>0</v>
      </c>
      <c r="R25" s="86">
        <v>0</v>
      </c>
      <c r="S25" s="86">
        <v>0</v>
      </c>
      <c r="T25" s="86">
        <v>0</v>
      </c>
      <c r="U25" s="86">
        <v>0</v>
      </c>
      <c r="V25" s="86">
        <v>0</v>
      </c>
      <c r="W25" s="86">
        <v>0</v>
      </c>
      <c r="X25" s="86">
        <v>0</v>
      </c>
      <c r="Y25" s="86">
        <v>0</v>
      </c>
      <c r="Z25" s="86">
        <v>0</v>
      </c>
      <c r="AA25" s="86">
        <v>0</v>
      </c>
      <c r="AB25" s="86">
        <v>0</v>
      </c>
      <c r="AC25" s="86">
        <v>0</v>
      </c>
      <c r="AD25" s="86">
        <v>0</v>
      </c>
      <c r="AE25" s="86">
        <v>0</v>
      </c>
      <c r="AF25" s="86">
        <v>0</v>
      </c>
      <c r="AG25" s="86">
        <v>0</v>
      </c>
      <c r="AH25" s="87"/>
      <c r="AI25" s="51"/>
    </row>
    <row r="26" spans="1:35" s="44" customFormat="1" ht="47.25" customHeight="1" x14ac:dyDescent="0.25">
      <c r="A26" s="422"/>
      <c r="B26" s="425"/>
      <c r="C26" s="65" t="s">
        <v>21</v>
      </c>
      <c r="D26" s="85">
        <f>SUM(J26,L26,N26,P26,R26,T26,V26,X26,Z26,AB26,AD26,AF26)</f>
        <v>0</v>
      </c>
      <c r="E26" s="85">
        <f>J26</f>
        <v>0</v>
      </c>
      <c r="F26" s="85">
        <f>G26</f>
        <v>0</v>
      </c>
      <c r="G26" s="85">
        <f>SUM(K26,M26,O26,Q26,S26,U26,W26,Y26,AA26,AC26,AE26,AG26)</f>
        <v>0</v>
      </c>
      <c r="H26" s="85">
        <f>IFERROR(G26/D26*100,0)</f>
        <v>0</v>
      </c>
      <c r="I26" s="85">
        <f>IFERROR(G26/E26*100,0)</f>
        <v>0</v>
      </c>
      <c r="J26" s="86">
        <v>0</v>
      </c>
      <c r="K26" s="86">
        <v>0</v>
      </c>
      <c r="L26" s="86">
        <v>0</v>
      </c>
      <c r="M26" s="86">
        <v>0</v>
      </c>
      <c r="N26" s="86">
        <v>0</v>
      </c>
      <c r="O26" s="86">
        <v>0</v>
      </c>
      <c r="P26" s="86">
        <v>0</v>
      </c>
      <c r="Q26" s="86">
        <v>0</v>
      </c>
      <c r="R26" s="86">
        <v>0</v>
      </c>
      <c r="S26" s="86">
        <v>0</v>
      </c>
      <c r="T26" s="86">
        <v>0</v>
      </c>
      <c r="U26" s="86">
        <v>0</v>
      </c>
      <c r="V26" s="86">
        <v>0</v>
      </c>
      <c r="W26" s="86">
        <v>0</v>
      </c>
      <c r="X26" s="86">
        <v>0</v>
      </c>
      <c r="Y26" s="86">
        <v>0</v>
      </c>
      <c r="Z26" s="86">
        <v>0</v>
      </c>
      <c r="AA26" s="86">
        <v>0</v>
      </c>
      <c r="AB26" s="86">
        <v>0</v>
      </c>
      <c r="AC26" s="86">
        <v>0</v>
      </c>
      <c r="AD26" s="86">
        <v>0</v>
      </c>
      <c r="AE26" s="86">
        <v>0</v>
      </c>
      <c r="AF26" s="86">
        <v>0</v>
      </c>
      <c r="AG26" s="86">
        <v>0</v>
      </c>
      <c r="AH26" s="87"/>
      <c r="AI26" s="51"/>
    </row>
  </sheetData>
  <customSheetViews>
    <customSheetView guid="{2940A182-D1A7-43C5-8D6E-965BED4371B0}" scale="80" state="hidden">
      <pane xSplit="6" ySplit="7" topLeftCell="G11" activePane="bottomRight" state="frozen"/>
      <selection pane="bottomRight" activeCell="C3" sqref="C3:S3"/>
      <pageMargins left="0.7" right="0.7" top="0.75" bottom="0.75" header="0.3" footer="0.3"/>
      <pageSetup paperSize="9" orientation="portrait" r:id="rId1"/>
    </customSheetView>
    <customSheetView guid="{BBF6B43F-E0FC-43DF-B91C-674F6AB4B556}" scale="80">
      <pane xSplit="6" ySplit="7" topLeftCell="G11" activePane="bottomRight" state="frozen"/>
      <selection pane="bottomRight" activeCell="C3" sqref="C3:S3"/>
      <pageMargins left="0.7" right="0.7" top="0.75" bottom="0.75" header="0.3" footer="0.3"/>
      <pageSetup paperSize="9" orientation="portrait" r:id="rId2"/>
    </customSheetView>
    <customSheetView guid="{30B635D9-57DB-47D5-8A0F-4B30DD769960}" scale="80">
      <pane xSplit="6" ySplit="7" topLeftCell="G11" activePane="bottomRight" state="frozen"/>
      <selection pane="bottomRight" activeCell="C3" sqref="C3:S3"/>
      <pageMargins left="0.7" right="0.7" top="0.75" bottom="0.75" header="0.3" footer="0.3"/>
      <pageSetup paperSize="9" orientation="portrait" r:id="rId3"/>
    </customSheetView>
    <customSheetView guid="{DAEDC989-02E7-4319-8354-59410ACF3F1F}" scale="80">
      <pane xSplit="6" ySplit="7" topLeftCell="G8" activePane="bottomRight" state="frozen"/>
      <selection pane="bottomRight" activeCell="B12" sqref="B12:AG12"/>
      <pageMargins left="0.7" right="0.7" top="0.75" bottom="0.75" header="0.3" footer="0.3"/>
      <pageSetup paperSize="9" orientation="portrait" r:id="rId4"/>
    </customSheetView>
    <customSheetView guid="{21E1D423-7B38-4272-8354-09B4DB62C9EB}" scale="80">
      <pane xSplit="6" ySplit="7" topLeftCell="G11" activePane="bottomRight" state="frozen"/>
      <selection pane="bottomRight" activeCell="C3" sqref="C3:S3"/>
      <pageMargins left="0.7" right="0.7" top="0.75" bottom="0.75" header="0.3" footer="0.3"/>
      <pageSetup paperSize="9" orientation="portrait" r:id="rId5"/>
    </customSheetView>
    <customSheetView guid="{EA46B61D-849C-4795-A4FF-F8F1740022EB}" scale="80">
      <pane xSplit="6" ySplit="7" topLeftCell="G11" activePane="bottomRight" state="frozen"/>
      <selection pane="bottomRight" activeCell="C3" sqref="C3:S3"/>
      <pageMargins left="0.7" right="0.7" top="0.75" bottom="0.75" header="0.3" footer="0.3"/>
      <pageSetup paperSize="9" orientation="portrait" r:id="rId6"/>
    </customSheetView>
    <customSheetView guid="{A0E2FBF6-E560-4343-8BE6-217DC798135B}" scale="80">
      <pane xSplit="6" ySplit="7" topLeftCell="G11" activePane="bottomRight" state="frozen"/>
      <selection pane="bottomRight" activeCell="C3" sqref="C3:S3"/>
      <pageMargins left="0.7" right="0.7" top="0.75" bottom="0.75" header="0.3" footer="0.3"/>
      <pageSetup paperSize="9" orientation="portrait" r:id="rId7"/>
    </customSheetView>
    <customSheetView guid="{20A05A62-CBE8-4538-BBC3-2AD9D3B8FAC0}" scale="80">
      <pane xSplit="6" ySplit="7" topLeftCell="G11" activePane="bottomRight" state="frozen"/>
      <selection pane="bottomRight" activeCell="C3" sqref="C3:S3"/>
      <pageMargins left="0.7" right="0.7" top="0.75" bottom="0.75" header="0.3" footer="0.3"/>
      <pageSetup paperSize="9" orientation="portrait" r:id="rId8"/>
    </customSheetView>
    <customSheetView guid="{A4AF2100-C59D-4F60-9EAB-56D9103463F7}" scale="80">
      <pane xSplit="6" ySplit="7" topLeftCell="G11" activePane="bottomRight" state="frozen"/>
      <selection pane="bottomRight" activeCell="C3" sqref="C3:S3"/>
      <pageMargins left="0.7" right="0.7" top="0.75" bottom="0.75" header="0.3" footer="0.3"/>
      <pageSetup paperSize="9" orientation="portrait" r:id="rId9"/>
    </customSheetView>
    <customSheetView guid="{AB9978E4-895D-4050-8F07-2484E22632D1}" scale="80">
      <pane xSplit="6" ySplit="7" topLeftCell="G11" activePane="bottomRight" state="frozen"/>
      <selection pane="bottomRight" activeCell="C3" sqref="C3:S3"/>
      <pageMargins left="0.7" right="0.7" top="0.75" bottom="0.75" header="0.3" footer="0.3"/>
      <pageSetup paperSize="9" orientation="portrait" r:id="rId10"/>
    </customSheetView>
    <customSheetView guid="{519948E4-0B24-465F-9D9E-44BE50D1D647}" scale="80">
      <pane xSplit="6" ySplit="7" topLeftCell="G11" activePane="bottomRight" state="frozen"/>
      <selection pane="bottomRight" activeCell="C3" sqref="C3:S3"/>
      <pageMargins left="0.7" right="0.7" top="0.75" bottom="0.75" header="0.3" footer="0.3"/>
      <pageSetup paperSize="9" orientation="portrait" r:id="rId11"/>
    </customSheetView>
    <customSheetView guid="{C7DC638A-7F60-46C9-A1FB-9ADEAE87F332}" scale="80">
      <pane xSplit="6" ySplit="7" topLeftCell="G11" activePane="bottomRight" state="frozen"/>
      <selection pane="bottomRight" activeCell="C3" sqref="C3:S3"/>
      <pageMargins left="0.7" right="0.7" top="0.75" bottom="0.75" header="0.3" footer="0.3"/>
      <pageSetup paperSize="9" orientation="portrait" r:id="rId12"/>
    </customSheetView>
    <customSheetView guid="{2A5A11D4-90C6-4A3E-8165-7D7BD634B22F}" scale="80">
      <pane xSplit="6" ySplit="7" topLeftCell="G11" activePane="bottomRight" state="frozen"/>
      <selection pane="bottomRight" activeCell="C3" sqref="C3:S3"/>
      <pageMargins left="0.7" right="0.7" top="0.75" bottom="0.75" header="0.3" footer="0.3"/>
      <pageSetup paperSize="9" orientation="portrait" r:id="rId13"/>
    </customSheetView>
    <customSheetView guid="{562453CE-35F5-40A3-AD14-6399D1197C99}" scale="80">
      <pane xSplit="6" ySplit="7" topLeftCell="G8" activePane="bottomRight" state="frozen"/>
      <selection pane="bottomRight" activeCell="B12" sqref="B12:AG12"/>
      <pageMargins left="0.7" right="0.7" top="0.75" bottom="0.75" header="0.3" footer="0.3"/>
      <pageSetup paperSize="9" orientation="portrait" r:id="rId14"/>
    </customSheetView>
    <customSheetView guid="{B6B60ED6-A6CC-4DA7-A8CA-5E6DB52D5A87}" scale="80">
      <pane xSplit="6" ySplit="7" topLeftCell="U14" activePane="bottomRight" state="frozen"/>
      <selection pane="bottomRight" activeCell="AH14" sqref="AH14"/>
      <pageMargins left="0.7" right="0.7" top="0.75" bottom="0.75" header="0.3" footer="0.3"/>
      <pageSetup paperSize="9" orientation="portrait" r:id="rId15"/>
    </customSheetView>
    <customSheetView guid="{133BB3F8-8DD4-4AEF-8CD6-A5FB14681329}" scale="80">
      <pane xSplit="6" ySplit="7" topLeftCell="G11" activePane="bottomRight" state="frozen"/>
      <selection pane="bottomRight" activeCell="C3" sqref="C3:S3"/>
      <pageMargins left="0.7" right="0.7" top="0.75" bottom="0.75" header="0.3" footer="0.3"/>
      <pageSetup paperSize="9" orientation="portrait" r:id="rId16"/>
    </customSheetView>
    <customSheetView guid="{5DF2C78B-5EE4-439D-8D72-8D3A913B65F9}" scale="80">
      <pane xSplit="6" ySplit="7" topLeftCell="G11" activePane="bottomRight" state="frozen"/>
      <selection pane="bottomRight" activeCell="C3" sqref="C3:S3"/>
      <pageMargins left="0.7" right="0.7" top="0.75" bottom="0.75" header="0.3" footer="0.3"/>
      <pageSetup paperSize="9" orientation="portrait" r:id="rId17"/>
    </customSheetView>
    <customSheetView guid="{60A1F930-4BEC-460A-8E14-01E47F6DD055}" scale="80">
      <pane xSplit="6" ySplit="7" topLeftCell="G11" activePane="bottomRight" state="frozen"/>
      <selection pane="bottomRight" activeCell="C3" sqref="C3:S3"/>
      <pageMargins left="0.7" right="0.7" top="0.75" bottom="0.75" header="0.3" footer="0.3"/>
      <pageSetup paperSize="9" orientation="portrait" r:id="rId18"/>
    </customSheetView>
    <customSheetView guid="{7C5A2A36-3D69-43D9-9018-A52C27EC78F9}" scale="80">
      <pane xSplit="6" ySplit="7" topLeftCell="G11" activePane="bottomRight" state="frozen"/>
      <selection pane="bottomRight" activeCell="C3" sqref="C3:S3"/>
      <pageMargins left="0.7" right="0.7" top="0.75" bottom="0.75" header="0.3" footer="0.3"/>
      <pageSetup paperSize="9" orientation="portrait" r:id="rId19"/>
    </customSheetView>
    <customSheetView guid="{C282AA4E-1BB5-4296-9AC6-844C0F88E5FC}" scale="80">
      <pane xSplit="6" ySplit="7" topLeftCell="G11" activePane="bottomRight" state="frozen"/>
      <selection pane="bottomRight" activeCell="C3" sqref="C3:S3"/>
      <pageMargins left="0.7" right="0.7" top="0.75" bottom="0.75" header="0.3" footer="0.3"/>
      <pageSetup paperSize="9" orientation="portrait" r:id="rId20"/>
    </customSheetView>
    <customSheetView guid="{996EC2F0-F6EC-4E63-A83E-34865157BD8D}" scale="80">
      <pane xSplit="6" ySplit="7" topLeftCell="G11" activePane="bottomRight" state="frozen"/>
      <selection pane="bottomRight" activeCell="C3" sqref="C3:S3"/>
      <pageMargins left="0.7" right="0.7" top="0.75" bottom="0.75" header="0.3" footer="0.3"/>
      <pageSetup paperSize="9" orientation="portrait" r:id="rId21"/>
    </customSheetView>
    <customSheetView guid="{AFADB96A-0516-43C1-9F1B-0604F3CAC04A}" scale="80">
      <pane xSplit="6" ySplit="7" topLeftCell="G11" activePane="bottomRight" state="frozen"/>
      <selection pane="bottomRight" activeCell="C3" sqref="C3:S3"/>
      <pageMargins left="0.7" right="0.7" top="0.75" bottom="0.75" header="0.3" footer="0.3"/>
      <pageSetup paperSize="9" orientation="portrait" r:id="rId22"/>
    </customSheetView>
  </customSheetViews>
  <mergeCells count="35">
    <mergeCell ref="B23:AG23"/>
    <mergeCell ref="A24:A26"/>
    <mergeCell ref="B24:B26"/>
    <mergeCell ref="A19:A20"/>
    <mergeCell ref="B19:B20"/>
    <mergeCell ref="A21:A22"/>
    <mergeCell ref="B21:B22"/>
    <mergeCell ref="AH4:AH6"/>
    <mergeCell ref="A8:A11"/>
    <mergeCell ref="B8:B11"/>
    <mergeCell ref="B12:AG12"/>
    <mergeCell ref="A13:A16"/>
    <mergeCell ref="B13:B16"/>
    <mergeCell ref="V4:W5"/>
    <mergeCell ref="X4:Y5"/>
    <mergeCell ref="Z4:AA5"/>
    <mergeCell ref="AB4:AC5"/>
    <mergeCell ref="AD4:AE5"/>
    <mergeCell ref="AF4:AG5"/>
    <mergeCell ref="J4:K5"/>
    <mergeCell ref="L4:M5"/>
    <mergeCell ref="N4:O5"/>
    <mergeCell ref="P4:Q5"/>
    <mergeCell ref="R4:S5"/>
    <mergeCell ref="T4:U5"/>
    <mergeCell ref="C2:S2"/>
    <mergeCell ref="C3:S3"/>
    <mergeCell ref="A4:A6"/>
    <mergeCell ref="B4:B6"/>
    <mergeCell ref="C4:C6"/>
    <mergeCell ref="D4:D5"/>
    <mergeCell ref="E4:E5"/>
    <mergeCell ref="F4:F5"/>
    <mergeCell ref="G4:G5"/>
    <mergeCell ref="H4:I5"/>
  </mergeCells>
  <pageMargins left="0.7" right="0.7" top="0.75" bottom="0.75" header="0.3" footer="0.3"/>
  <pageSetup paperSize="9" orientation="portrait" r:id="rId23"/>
  <legacyDrawing r:id="rId2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100"/>
  <sheetViews>
    <sheetView tabSelected="1" zoomScaleNormal="100" workbookViewId="0">
      <pane xSplit="6" ySplit="7" topLeftCell="J8" activePane="bottomRight" state="frozen"/>
      <selection pane="topRight" activeCell="G1" sqref="G1"/>
      <selection pane="bottomLeft" activeCell="A8" sqref="A8"/>
      <selection pane="bottomRight" activeCell="O96" sqref="O96"/>
    </sheetView>
  </sheetViews>
  <sheetFormatPr defaultColWidth="9.140625" defaultRowHeight="15" x14ac:dyDescent="0.25"/>
  <cols>
    <col min="1" max="1" width="6.5703125" style="8" customWidth="1"/>
    <col min="2" max="2" width="34.5703125" style="8" customWidth="1"/>
    <col min="3" max="3" width="20.85546875" style="9" customWidth="1"/>
    <col min="4" max="4" width="18" style="130" customWidth="1"/>
    <col min="5" max="5" width="14.7109375" style="8" customWidth="1"/>
    <col min="6" max="6" width="15" style="8" customWidth="1"/>
    <col min="7" max="7" width="13.85546875" style="8" customWidth="1"/>
    <col min="8" max="8" width="12.140625" style="8" customWidth="1"/>
    <col min="9" max="9" width="10.85546875" style="8" customWidth="1"/>
    <col min="10" max="10" width="14.28515625" style="8" customWidth="1"/>
    <col min="11" max="11" width="13.5703125" style="8" customWidth="1"/>
    <col min="12" max="12" width="15.140625" style="8" customWidth="1"/>
    <col min="13" max="13" width="13" style="8" customWidth="1"/>
    <col min="14" max="14" width="15.28515625" style="8" customWidth="1"/>
    <col min="15" max="15" width="13.85546875" style="8" customWidth="1"/>
    <col min="16" max="16" width="15" style="8" customWidth="1"/>
    <col min="17" max="17" width="11.5703125" style="8" customWidth="1"/>
    <col min="18" max="18" width="14.42578125"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5" style="8" customWidth="1"/>
    <col min="25" max="25" width="11.5703125" style="8" customWidth="1"/>
    <col min="26" max="26" width="16.140625" style="8" customWidth="1"/>
    <col min="27" max="27" width="11.5703125" style="8" customWidth="1"/>
    <col min="28" max="28" width="14.85546875" style="8" customWidth="1"/>
    <col min="29" max="29" width="11.5703125" style="8" customWidth="1"/>
    <col min="30" max="30" width="13.42578125" style="8" customWidth="1"/>
    <col min="31" max="31" width="11.5703125" style="8" customWidth="1"/>
    <col min="32" max="32" width="13.7109375" style="8" customWidth="1"/>
    <col min="33" max="33" width="11.5703125" style="8" customWidth="1"/>
    <col min="34" max="34" width="92.7109375" style="8" customWidth="1"/>
    <col min="35" max="16384" width="9.140625" style="8"/>
  </cols>
  <sheetData>
    <row r="1" spans="1:35" s="10" customFormat="1" ht="23.25" customHeight="1" x14ac:dyDescent="0.25">
      <c r="C1" s="119"/>
      <c r="D1" s="120"/>
      <c r="E1" s="13"/>
      <c r="F1" s="13"/>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5" s="10" customFormat="1" ht="15.75" x14ac:dyDescent="0.25">
      <c r="A2" s="55"/>
      <c r="B2" s="55"/>
      <c r="C2" s="346" t="s">
        <v>24</v>
      </c>
      <c r="D2" s="346"/>
      <c r="E2" s="346"/>
      <c r="F2" s="346"/>
      <c r="G2" s="346"/>
      <c r="H2" s="346"/>
      <c r="I2" s="346"/>
      <c r="J2" s="346"/>
      <c r="K2" s="346"/>
      <c r="L2" s="346"/>
      <c r="M2" s="346"/>
      <c r="N2" s="346"/>
      <c r="O2" s="346"/>
      <c r="P2" s="346"/>
      <c r="Q2" s="346"/>
      <c r="R2" s="346"/>
      <c r="S2" s="346"/>
      <c r="T2" s="35"/>
      <c r="U2" s="35"/>
      <c r="V2" s="35"/>
      <c r="W2" s="35"/>
      <c r="X2" s="35"/>
      <c r="Y2" s="35"/>
      <c r="Z2" s="35"/>
      <c r="AA2" s="35"/>
      <c r="AB2" s="35"/>
      <c r="AC2" s="35"/>
      <c r="AD2" s="35"/>
      <c r="AE2" s="35"/>
      <c r="AF2" s="35"/>
      <c r="AG2" s="35"/>
      <c r="AH2" s="35"/>
    </row>
    <row r="3" spans="1:35" s="10" customFormat="1" ht="27" customHeight="1" x14ac:dyDescent="0.25">
      <c r="A3" s="55"/>
      <c r="B3" s="55"/>
      <c r="C3" s="347" t="s">
        <v>113</v>
      </c>
      <c r="D3" s="347"/>
      <c r="E3" s="347"/>
      <c r="F3" s="347"/>
      <c r="G3" s="347"/>
      <c r="H3" s="347"/>
      <c r="I3" s="347"/>
      <c r="J3" s="347"/>
      <c r="K3" s="347"/>
      <c r="L3" s="347"/>
      <c r="M3" s="347"/>
      <c r="N3" s="347"/>
      <c r="O3" s="347"/>
      <c r="P3" s="347"/>
      <c r="Q3" s="347"/>
      <c r="R3" s="347"/>
      <c r="S3" s="347"/>
      <c r="T3" s="36"/>
      <c r="U3" s="36"/>
      <c r="V3" s="36"/>
      <c r="W3" s="36"/>
      <c r="X3" s="36"/>
      <c r="Y3" s="36"/>
      <c r="Z3" s="36"/>
      <c r="AA3" s="36"/>
      <c r="AB3" s="36"/>
      <c r="AC3" s="36"/>
      <c r="AD3" s="37"/>
      <c r="AE3" s="37"/>
      <c r="AF3" s="37"/>
      <c r="AG3" s="37" t="s">
        <v>0</v>
      </c>
      <c r="AH3" s="37"/>
    </row>
    <row r="4" spans="1:35" s="10" customFormat="1" ht="15" customHeight="1" x14ac:dyDescent="0.25">
      <c r="A4" s="348" t="s">
        <v>26</v>
      </c>
      <c r="B4" s="351" t="s">
        <v>29</v>
      </c>
      <c r="C4" s="354" t="s">
        <v>30</v>
      </c>
      <c r="D4" s="357"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10" customFormat="1" ht="39" customHeight="1" x14ac:dyDescent="0.25">
      <c r="A5" s="349"/>
      <c r="B5" s="352"/>
      <c r="C5" s="355"/>
      <c r="D5" s="358"/>
      <c r="E5" s="360"/>
      <c r="F5" s="360"/>
      <c r="G5" s="360"/>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5" s="10" customFormat="1" ht="64.5" customHeight="1" x14ac:dyDescent="0.25">
      <c r="A6" s="350"/>
      <c r="B6" s="353"/>
      <c r="C6" s="356"/>
      <c r="D6" s="121">
        <v>2025</v>
      </c>
      <c r="E6" s="39">
        <v>45748</v>
      </c>
      <c r="F6" s="39">
        <v>45748</v>
      </c>
      <c r="G6" s="39">
        <v>45748</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32" customFormat="1" ht="15.75" x14ac:dyDescent="0.25">
      <c r="A7" s="40">
        <v>1</v>
      </c>
      <c r="B7" s="40">
        <v>2</v>
      </c>
      <c r="C7" s="122">
        <v>3</v>
      </c>
      <c r="D7" s="40">
        <v>4</v>
      </c>
      <c r="E7" s="40">
        <v>5</v>
      </c>
      <c r="F7" s="40">
        <v>6</v>
      </c>
      <c r="G7" s="40">
        <v>7</v>
      </c>
      <c r="H7" s="40">
        <v>8</v>
      </c>
      <c r="I7" s="40">
        <v>9</v>
      </c>
      <c r="J7" s="40">
        <v>10</v>
      </c>
      <c r="K7" s="40">
        <v>11</v>
      </c>
      <c r="L7" s="40">
        <v>12</v>
      </c>
      <c r="M7" s="40">
        <v>13</v>
      </c>
      <c r="N7" s="40">
        <v>14</v>
      </c>
      <c r="O7" s="40">
        <v>15</v>
      </c>
      <c r="P7" s="40">
        <v>16</v>
      </c>
      <c r="Q7" s="40">
        <v>17</v>
      </c>
      <c r="R7" s="40">
        <v>18</v>
      </c>
      <c r="S7" s="40">
        <v>19</v>
      </c>
      <c r="T7" s="40">
        <v>20</v>
      </c>
      <c r="U7" s="40">
        <v>21</v>
      </c>
      <c r="V7" s="40">
        <v>22</v>
      </c>
      <c r="W7" s="40">
        <v>23</v>
      </c>
      <c r="X7" s="40">
        <v>24</v>
      </c>
      <c r="Y7" s="40">
        <v>25</v>
      </c>
      <c r="Z7" s="40">
        <v>26</v>
      </c>
      <c r="AA7" s="40">
        <v>27</v>
      </c>
      <c r="AB7" s="40">
        <v>28</v>
      </c>
      <c r="AC7" s="40">
        <v>29</v>
      </c>
      <c r="AD7" s="40">
        <v>30</v>
      </c>
      <c r="AE7" s="40">
        <v>31</v>
      </c>
      <c r="AF7" s="40">
        <v>32</v>
      </c>
      <c r="AG7" s="40">
        <v>33</v>
      </c>
      <c r="AH7" s="40">
        <v>34</v>
      </c>
    </row>
    <row r="8" spans="1:35" s="25" customFormat="1" ht="31.5" customHeight="1" x14ac:dyDescent="0.25">
      <c r="A8" s="364"/>
      <c r="B8" s="367" t="s">
        <v>23</v>
      </c>
      <c r="C8" s="123" t="s">
        <v>20</v>
      </c>
      <c r="D8" s="70">
        <f>D9+D10+D12+D11</f>
        <v>784817.97100000014</v>
      </c>
      <c r="E8" s="70">
        <f t="shared" ref="E8:G8" si="0">E9+E10+E12+E11</f>
        <v>52100.4</v>
      </c>
      <c r="F8" s="70">
        <f t="shared" si="0"/>
        <v>73009.234999999986</v>
      </c>
      <c r="G8" s="70">
        <f t="shared" si="0"/>
        <v>73009.234999999986</v>
      </c>
      <c r="H8" s="70">
        <f>IFERROR(G8/D8*100,0)</f>
        <v>9.3026966376640186</v>
      </c>
      <c r="I8" s="70">
        <f>IFERROR(G8/E8*100,0)</f>
        <v>140.13181280757919</v>
      </c>
      <c r="J8" s="71">
        <f>J9+J10+J12+J11</f>
        <v>52100.4</v>
      </c>
      <c r="K8" s="71">
        <f t="shared" ref="K8:AG8" si="1">K9+K10+K12+K11</f>
        <v>24731.802999999993</v>
      </c>
      <c r="L8" s="71">
        <f t="shared" si="1"/>
        <v>50808.46100000001</v>
      </c>
      <c r="M8" s="71">
        <f t="shared" si="1"/>
        <v>48277.432000000001</v>
      </c>
      <c r="N8" s="71">
        <f t="shared" si="1"/>
        <v>174416.08700000003</v>
      </c>
      <c r="O8" s="71">
        <f t="shared" si="1"/>
        <v>0</v>
      </c>
      <c r="P8" s="71">
        <f t="shared" si="1"/>
        <v>80799.21100000001</v>
      </c>
      <c r="Q8" s="71">
        <f t="shared" si="1"/>
        <v>0</v>
      </c>
      <c r="R8" s="71">
        <f t="shared" si="1"/>
        <v>78896.936000000002</v>
      </c>
      <c r="S8" s="71">
        <f t="shared" si="1"/>
        <v>0</v>
      </c>
      <c r="T8" s="71">
        <f t="shared" si="1"/>
        <v>67110.226999999999</v>
      </c>
      <c r="U8" s="71">
        <f t="shared" si="1"/>
        <v>0</v>
      </c>
      <c r="V8" s="71">
        <f t="shared" si="1"/>
        <v>49322.449000000001</v>
      </c>
      <c r="W8" s="71">
        <f t="shared" si="1"/>
        <v>0</v>
      </c>
      <c r="X8" s="71">
        <f t="shared" si="1"/>
        <v>55264.638999999996</v>
      </c>
      <c r="Y8" s="71">
        <f t="shared" si="1"/>
        <v>0</v>
      </c>
      <c r="Z8" s="71">
        <f t="shared" si="1"/>
        <v>43834.911000000007</v>
      </c>
      <c r="AA8" s="71">
        <f t="shared" si="1"/>
        <v>0</v>
      </c>
      <c r="AB8" s="71">
        <f t="shared" si="1"/>
        <v>47279.587999999996</v>
      </c>
      <c r="AC8" s="71">
        <f t="shared" si="1"/>
        <v>0</v>
      </c>
      <c r="AD8" s="71">
        <f t="shared" si="1"/>
        <v>34859.908000000003</v>
      </c>
      <c r="AE8" s="71">
        <f t="shared" si="1"/>
        <v>0</v>
      </c>
      <c r="AF8" s="71">
        <f t="shared" si="1"/>
        <v>50125.153999999995</v>
      </c>
      <c r="AG8" s="71">
        <f t="shared" si="1"/>
        <v>0</v>
      </c>
      <c r="AH8" s="72"/>
    </row>
    <row r="9" spans="1:35" s="26" customFormat="1" ht="26.25" customHeight="1" x14ac:dyDescent="0.25">
      <c r="A9" s="365"/>
      <c r="B9" s="368"/>
      <c r="C9" s="124" t="s">
        <v>52</v>
      </c>
      <c r="D9" s="74">
        <f>J9+L9+N9+P9+R9+T9+V9+X9+Z9+AB9+AD9+AF9</f>
        <v>6734.0059999999994</v>
      </c>
      <c r="E9" s="74">
        <f>J9</f>
        <v>0</v>
      </c>
      <c r="F9" s="74">
        <f>G9</f>
        <v>0</v>
      </c>
      <c r="G9" s="74">
        <f>K9+M9+O9+Q9+S9+U9+W9+Y9+AA9+AC9+AE9+AG9</f>
        <v>0</v>
      </c>
      <c r="H9" s="74">
        <f t="shared" ref="H9" si="2">IFERROR(G9/D9*100,0)</f>
        <v>0</v>
      </c>
      <c r="I9" s="74">
        <f t="shared" ref="I9" si="3">IFERROR(G9/E9*100,0)</f>
        <v>0</v>
      </c>
      <c r="J9" s="74">
        <f>J15+J31</f>
        <v>0</v>
      </c>
      <c r="K9" s="74">
        <f t="shared" ref="K9:AG9" si="4">K15+K31</f>
        <v>0</v>
      </c>
      <c r="L9" s="74">
        <f t="shared" si="4"/>
        <v>0</v>
      </c>
      <c r="M9" s="74">
        <f t="shared" si="4"/>
        <v>0</v>
      </c>
      <c r="N9" s="74">
        <f t="shared" si="4"/>
        <v>568.322</v>
      </c>
      <c r="O9" s="74">
        <f t="shared" si="4"/>
        <v>0</v>
      </c>
      <c r="P9" s="74">
        <f t="shared" si="4"/>
        <v>592.41</v>
      </c>
      <c r="Q9" s="74">
        <f t="shared" si="4"/>
        <v>0</v>
      </c>
      <c r="R9" s="74">
        <f t="shared" si="4"/>
        <v>5468.9959999999992</v>
      </c>
      <c r="S9" s="74">
        <f t="shared" si="4"/>
        <v>0</v>
      </c>
      <c r="T9" s="74">
        <f t="shared" si="4"/>
        <v>0</v>
      </c>
      <c r="U9" s="74">
        <f t="shared" si="4"/>
        <v>0</v>
      </c>
      <c r="V9" s="74">
        <f t="shared" si="4"/>
        <v>0</v>
      </c>
      <c r="W9" s="74">
        <f t="shared" si="4"/>
        <v>0</v>
      </c>
      <c r="X9" s="74">
        <f t="shared" si="4"/>
        <v>0</v>
      </c>
      <c r="Y9" s="74">
        <f t="shared" si="4"/>
        <v>0</v>
      </c>
      <c r="Z9" s="74">
        <f t="shared" si="4"/>
        <v>0</v>
      </c>
      <c r="AA9" s="74">
        <f t="shared" si="4"/>
        <v>0</v>
      </c>
      <c r="AB9" s="74">
        <f t="shared" si="4"/>
        <v>104.27800000000001</v>
      </c>
      <c r="AC9" s="74">
        <f t="shared" si="4"/>
        <v>0</v>
      </c>
      <c r="AD9" s="74">
        <f t="shared" si="4"/>
        <v>0</v>
      </c>
      <c r="AE9" s="74">
        <f t="shared" si="4"/>
        <v>0</v>
      </c>
      <c r="AF9" s="74">
        <f t="shared" si="4"/>
        <v>0</v>
      </c>
      <c r="AG9" s="74">
        <f t="shared" si="4"/>
        <v>0</v>
      </c>
      <c r="AH9" s="75"/>
    </row>
    <row r="10" spans="1:35" s="26" customFormat="1" ht="40.5" customHeight="1" x14ac:dyDescent="0.25">
      <c r="A10" s="365"/>
      <c r="B10" s="368"/>
      <c r="C10" s="124" t="s">
        <v>22</v>
      </c>
      <c r="D10" s="74">
        <f t="shared" ref="D10:D12" si="5">J10+L10+N10+P10+R10+T10+V10+X10+Z10+AB10+AD10+AF10</f>
        <v>10948.090000000002</v>
      </c>
      <c r="E10" s="74">
        <f t="shared" ref="E10:E12" si="6">J10</f>
        <v>0</v>
      </c>
      <c r="F10" s="74">
        <f t="shared" ref="F10:F12" si="7">G10</f>
        <v>0</v>
      </c>
      <c r="G10" s="74">
        <f t="shared" ref="G10:G12" si="8">K10+M10+O10+Q10+S10+U10+W10+Y10+AA10+AC10+AE10+AG10</f>
        <v>0</v>
      </c>
      <c r="H10" s="74">
        <f>IFERROR(G10/D10*100,0)</f>
        <v>0</v>
      </c>
      <c r="I10" s="74">
        <f>IFERROR(G10/E10*100,0)</f>
        <v>0</v>
      </c>
      <c r="J10" s="74">
        <f t="shared" ref="J10:AG10" si="9">J16+J32+J84</f>
        <v>0</v>
      </c>
      <c r="K10" s="74">
        <f t="shared" si="9"/>
        <v>0</v>
      </c>
      <c r="L10" s="74">
        <f t="shared" si="9"/>
        <v>0</v>
      </c>
      <c r="M10" s="74">
        <f t="shared" si="9"/>
        <v>0</v>
      </c>
      <c r="N10" s="74">
        <f t="shared" si="9"/>
        <v>899.01300000000003</v>
      </c>
      <c r="O10" s="74">
        <f t="shared" si="9"/>
        <v>0</v>
      </c>
      <c r="P10" s="74">
        <f t="shared" si="9"/>
        <v>939.58900000000006</v>
      </c>
      <c r="Q10" s="74">
        <f t="shared" si="9"/>
        <v>0</v>
      </c>
      <c r="R10" s="74">
        <f t="shared" si="9"/>
        <v>8639.6470000000008</v>
      </c>
      <c r="S10" s="74">
        <f t="shared" si="9"/>
        <v>0</v>
      </c>
      <c r="T10" s="74">
        <f t="shared" si="9"/>
        <v>22.1</v>
      </c>
      <c r="U10" s="74">
        <f t="shared" si="9"/>
        <v>0</v>
      </c>
      <c r="V10" s="74">
        <f t="shared" si="9"/>
        <v>22.1</v>
      </c>
      <c r="W10" s="74">
        <f t="shared" si="9"/>
        <v>0</v>
      </c>
      <c r="X10" s="74">
        <f t="shared" si="9"/>
        <v>22.1</v>
      </c>
      <c r="Y10" s="74">
        <f t="shared" si="9"/>
        <v>0</v>
      </c>
      <c r="Z10" s="74">
        <f t="shared" si="9"/>
        <v>89.3</v>
      </c>
      <c r="AA10" s="74">
        <f t="shared" si="9"/>
        <v>0</v>
      </c>
      <c r="AB10" s="74">
        <f t="shared" si="9"/>
        <v>185.20099999999999</v>
      </c>
      <c r="AC10" s="74">
        <f t="shared" si="9"/>
        <v>0</v>
      </c>
      <c r="AD10" s="74">
        <f t="shared" si="9"/>
        <v>22.1</v>
      </c>
      <c r="AE10" s="74">
        <f t="shared" si="9"/>
        <v>0</v>
      </c>
      <c r="AF10" s="74">
        <f t="shared" si="9"/>
        <v>106.94</v>
      </c>
      <c r="AG10" s="74">
        <f t="shared" si="9"/>
        <v>0</v>
      </c>
      <c r="AH10" s="75"/>
    </row>
    <row r="11" spans="1:35" s="26" customFormat="1" ht="40.5" customHeight="1" x14ac:dyDescent="0.25">
      <c r="A11" s="365"/>
      <c r="B11" s="368"/>
      <c r="C11" s="124" t="s">
        <v>21</v>
      </c>
      <c r="D11" s="74">
        <f>J11+L11+N11+P11+R11+T11+V11+X11+Z11+AB11+AD11+AF11</f>
        <v>738145.49800000014</v>
      </c>
      <c r="E11" s="74">
        <f t="shared" si="6"/>
        <v>48925.037000000004</v>
      </c>
      <c r="F11" s="74">
        <f t="shared" si="7"/>
        <v>70599.481999999989</v>
      </c>
      <c r="G11" s="74">
        <f t="shared" si="8"/>
        <v>70599.481999999989</v>
      </c>
      <c r="H11" s="74">
        <f>IFERROR(G11/D11*100,0)</f>
        <v>9.5644398280947005</v>
      </c>
      <c r="I11" s="74">
        <f>IFERROR(G11/E11*100,0)</f>
        <v>144.30133593971527</v>
      </c>
      <c r="J11" s="74">
        <f t="shared" ref="J11:AG11" si="10">J17+J33+J35+J78+J81+J85+J96</f>
        <v>48925.037000000004</v>
      </c>
      <c r="K11" s="74">
        <f t="shared" si="10"/>
        <v>23883.041999999994</v>
      </c>
      <c r="L11" s="74">
        <f t="shared" si="10"/>
        <v>48278.301000000007</v>
      </c>
      <c r="M11" s="74">
        <f t="shared" si="10"/>
        <v>46716.44</v>
      </c>
      <c r="N11" s="74">
        <f t="shared" si="10"/>
        <v>169949.93200000003</v>
      </c>
      <c r="O11" s="74">
        <f t="shared" si="10"/>
        <v>0</v>
      </c>
      <c r="P11" s="74">
        <f t="shared" si="10"/>
        <v>75177.753000000012</v>
      </c>
      <c r="Q11" s="74">
        <f t="shared" si="10"/>
        <v>0</v>
      </c>
      <c r="R11" s="74">
        <f t="shared" si="10"/>
        <v>62278.879000000001</v>
      </c>
      <c r="S11" s="74">
        <f t="shared" si="10"/>
        <v>0</v>
      </c>
      <c r="T11" s="74">
        <f t="shared" si="10"/>
        <v>65594.554999999993</v>
      </c>
      <c r="U11" s="74">
        <f t="shared" si="10"/>
        <v>0</v>
      </c>
      <c r="V11" s="74">
        <f t="shared" si="10"/>
        <v>47529.932999999997</v>
      </c>
      <c r="W11" s="74">
        <f t="shared" si="10"/>
        <v>0</v>
      </c>
      <c r="X11" s="74">
        <f t="shared" si="10"/>
        <v>53781.043999999994</v>
      </c>
      <c r="Y11" s="74">
        <f t="shared" si="10"/>
        <v>0</v>
      </c>
      <c r="Z11" s="74">
        <f t="shared" si="10"/>
        <v>41715.257000000005</v>
      </c>
      <c r="AA11" s="74">
        <f t="shared" si="10"/>
        <v>0</v>
      </c>
      <c r="AB11" s="74">
        <f t="shared" si="10"/>
        <v>44394.720999999998</v>
      </c>
      <c r="AC11" s="74">
        <f t="shared" si="10"/>
        <v>0</v>
      </c>
      <c r="AD11" s="74">
        <f t="shared" si="10"/>
        <v>32628.628000000001</v>
      </c>
      <c r="AE11" s="74">
        <f t="shared" si="10"/>
        <v>0</v>
      </c>
      <c r="AF11" s="74">
        <f t="shared" si="10"/>
        <v>47891.457999999999</v>
      </c>
      <c r="AG11" s="74">
        <f t="shared" si="10"/>
        <v>0</v>
      </c>
      <c r="AH11" s="75"/>
    </row>
    <row r="12" spans="1:35" s="26" customFormat="1" ht="34.5" customHeight="1" x14ac:dyDescent="0.25">
      <c r="A12" s="366"/>
      <c r="B12" s="369"/>
      <c r="C12" s="124" t="s">
        <v>114</v>
      </c>
      <c r="D12" s="74">
        <f t="shared" si="5"/>
        <v>28990.377</v>
      </c>
      <c r="E12" s="74">
        <f t="shared" si="6"/>
        <v>3175.3629999999998</v>
      </c>
      <c r="F12" s="74">
        <f t="shared" si="7"/>
        <v>2409.7529999999997</v>
      </c>
      <c r="G12" s="74">
        <f t="shared" si="8"/>
        <v>2409.7529999999997</v>
      </c>
      <c r="H12" s="74">
        <f>IFERROR(G12/D12*100,0)</f>
        <v>8.3122513377456251</v>
      </c>
      <c r="I12" s="74">
        <f>IFERROR(G12/E12*100,0)</f>
        <v>75.889055833931423</v>
      </c>
      <c r="J12" s="74">
        <f t="shared" ref="J12:AG12" si="11">J36+J79</f>
        <v>3175.3629999999998</v>
      </c>
      <c r="K12" s="74">
        <f t="shared" si="11"/>
        <v>848.76099999999997</v>
      </c>
      <c r="L12" s="74">
        <f t="shared" si="11"/>
        <v>2530.16</v>
      </c>
      <c r="M12" s="74">
        <f t="shared" si="11"/>
        <v>1560.992</v>
      </c>
      <c r="N12" s="74">
        <f t="shared" si="11"/>
        <v>2998.82</v>
      </c>
      <c r="O12" s="74">
        <f t="shared" si="11"/>
        <v>0</v>
      </c>
      <c r="P12" s="74">
        <f t="shared" si="11"/>
        <v>4089.4589999999998</v>
      </c>
      <c r="Q12" s="74">
        <f t="shared" si="11"/>
        <v>0</v>
      </c>
      <c r="R12" s="74">
        <f t="shared" si="11"/>
        <v>2509.4139999999998</v>
      </c>
      <c r="S12" s="74">
        <f t="shared" si="11"/>
        <v>0</v>
      </c>
      <c r="T12" s="74">
        <f t="shared" si="11"/>
        <v>1493.5719999999999</v>
      </c>
      <c r="U12" s="74">
        <f t="shared" si="11"/>
        <v>0</v>
      </c>
      <c r="V12" s="74">
        <f t="shared" si="11"/>
        <v>1770.4159999999999</v>
      </c>
      <c r="W12" s="74">
        <f t="shared" si="11"/>
        <v>0</v>
      </c>
      <c r="X12" s="74">
        <f t="shared" si="11"/>
        <v>1461.4949999999999</v>
      </c>
      <c r="Y12" s="74">
        <f t="shared" si="11"/>
        <v>0</v>
      </c>
      <c r="Z12" s="74">
        <f t="shared" si="11"/>
        <v>2030.354</v>
      </c>
      <c r="AA12" s="74">
        <f t="shared" si="11"/>
        <v>0</v>
      </c>
      <c r="AB12" s="74">
        <f t="shared" si="11"/>
        <v>2595.3879999999999</v>
      </c>
      <c r="AC12" s="74">
        <f t="shared" si="11"/>
        <v>0</v>
      </c>
      <c r="AD12" s="74">
        <f t="shared" si="11"/>
        <v>2209.1800000000003</v>
      </c>
      <c r="AE12" s="74">
        <f t="shared" si="11"/>
        <v>0</v>
      </c>
      <c r="AF12" s="74">
        <f t="shared" si="11"/>
        <v>2126.7559999999999</v>
      </c>
      <c r="AG12" s="74">
        <f t="shared" si="11"/>
        <v>0</v>
      </c>
      <c r="AH12" s="75"/>
    </row>
    <row r="13" spans="1:35" s="22" customFormat="1" ht="18.75" customHeight="1" x14ac:dyDescent="0.25">
      <c r="A13" s="66"/>
      <c r="B13" s="370" t="s">
        <v>115</v>
      </c>
      <c r="C13" s="371"/>
      <c r="D13" s="371"/>
      <c r="E13" s="371"/>
      <c r="F13" s="371"/>
      <c r="G13" s="371"/>
      <c r="H13" s="371"/>
      <c r="I13" s="371"/>
      <c r="J13" s="371"/>
      <c r="K13" s="371"/>
      <c r="L13" s="371"/>
      <c r="M13" s="371"/>
      <c r="N13" s="371"/>
      <c r="O13" s="371"/>
      <c r="P13" s="371"/>
      <c r="Q13" s="371"/>
      <c r="R13" s="371"/>
      <c r="S13" s="371"/>
      <c r="T13" s="371"/>
      <c r="U13" s="371"/>
      <c r="V13" s="371"/>
      <c r="W13" s="371"/>
      <c r="X13" s="371"/>
      <c r="Y13" s="371"/>
      <c r="Z13" s="371"/>
      <c r="AA13" s="371"/>
      <c r="AB13" s="371"/>
      <c r="AC13" s="371"/>
      <c r="AD13" s="371"/>
      <c r="AE13" s="371"/>
      <c r="AF13" s="371"/>
      <c r="AG13" s="372"/>
      <c r="AH13" s="64"/>
    </row>
    <row r="14" spans="1:35" s="21" customFormat="1" ht="23.25" customHeight="1" x14ac:dyDescent="0.25">
      <c r="A14" s="373" t="s">
        <v>50</v>
      </c>
      <c r="B14" s="376" t="s">
        <v>116</v>
      </c>
      <c r="C14" s="125" t="s">
        <v>20</v>
      </c>
      <c r="D14" s="70">
        <f>D16+D17+D15</f>
        <v>735.9000000000002</v>
      </c>
      <c r="E14" s="58">
        <f t="shared" ref="E14:AG14" si="12">E16+E17+E15</f>
        <v>0</v>
      </c>
      <c r="F14" s="58">
        <f t="shared" si="12"/>
        <v>11.65</v>
      </c>
      <c r="G14" s="58">
        <f t="shared" si="12"/>
        <v>11.65</v>
      </c>
      <c r="H14" s="58">
        <f t="shared" ref="H14:H34" si="13">IFERROR(G14/D14*100,0)</f>
        <v>1.5830955292838698</v>
      </c>
      <c r="I14" s="58">
        <f t="shared" ref="I14:I34" si="14">IFERROR(G14/E14*100,0)</f>
        <v>0</v>
      </c>
      <c r="J14" s="58">
        <f t="shared" si="12"/>
        <v>0</v>
      </c>
      <c r="K14" s="58">
        <f t="shared" si="12"/>
        <v>0</v>
      </c>
      <c r="L14" s="58">
        <f t="shared" si="12"/>
        <v>11.65</v>
      </c>
      <c r="M14" s="58">
        <f t="shared" si="12"/>
        <v>11.65</v>
      </c>
      <c r="N14" s="58">
        <f t="shared" si="12"/>
        <v>21.05</v>
      </c>
      <c r="O14" s="58">
        <f t="shared" si="12"/>
        <v>0</v>
      </c>
      <c r="P14" s="58">
        <f t="shared" si="12"/>
        <v>24.35</v>
      </c>
      <c r="Q14" s="58">
        <f t="shared" si="12"/>
        <v>0</v>
      </c>
      <c r="R14" s="58">
        <f t="shared" si="12"/>
        <v>412.68500000000006</v>
      </c>
      <c r="S14" s="58">
        <f t="shared" si="12"/>
        <v>0</v>
      </c>
      <c r="T14" s="58">
        <f t="shared" si="12"/>
        <v>24.35</v>
      </c>
      <c r="U14" s="58">
        <f t="shared" si="12"/>
        <v>0</v>
      </c>
      <c r="V14" s="58">
        <f t="shared" si="12"/>
        <v>24.35</v>
      </c>
      <c r="W14" s="58">
        <f t="shared" si="12"/>
        <v>0</v>
      </c>
      <c r="X14" s="58">
        <f t="shared" si="12"/>
        <v>24.35</v>
      </c>
      <c r="Y14" s="58">
        <f t="shared" si="12"/>
        <v>0</v>
      </c>
      <c r="Z14" s="58">
        <f t="shared" si="12"/>
        <v>108.35</v>
      </c>
      <c r="AA14" s="58">
        <f t="shared" si="12"/>
        <v>0</v>
      </c>
      <c r="AB14" s="58">
        <f t="shared" si="12"/>
        <v>24.35</v>
      </c>
      <c r="AC14" s="58">
        <f t="shared" si="12"/>
        <v>0</v>
      </c>
      <c r="AD14" s="58">
        <f t="shared" si="12"/>
        <v>24.35</v>
      </c>
      <c r="AE14" s="58">
        <f t="shared" si="12"/>
        <v>0</v>
      </c>
      <c r="AF14" s="58">
        <f t="shared" si="12"/>
        <v>36.064999999999998</v>
      </c>
      <c r="AG14" s="58">
        <f t="shared" si="12"/>
        <v>0</v>
      </c>
      <c r="AH14" s="60"/>
      <c r="AI14" s="23"/>
    </row>
    <row r="15" spans="1:35" s="21" customFormat="1" ht="17.25" customHeight="1" x14ac:dyDescent="0.25">
      <c r="A15" s="374"/>
      <c r="B15" s="377"/>
      <c r="C15" s="126" t="s">
        <v>52</v>
      </c>
      <c r="D15" s="74">
        <f>SUM(J15,L15,N15,P15,R15,T15,V15,X15,Z15,AB15,AD15,AF15)</f>
        <v>96.4</v>
      </c>
      <c r="E15" s="62">
        <f>J15</f>
        <v>0</v>
      </c>
      <c r="F15" s="62">
        <f>G15</f>
        <v>0</v>
      </c>
      <c r="G15" s="62">
        <f>SUM(K15,M15,O15,Q15,S15,U15,W15,Y15,AA15,AC15,AE15,AG15)</f>
        <v>0</v>
      </c>
      <c r="H15" s="62">
        <f t="shared" si="13"/>
        <v>0</v>
      </c>
      <c r="I15" s="62">
        <f t="shared" si="14"/>
        <v>0</v>
      </c>
      <c r="J15" s="62">
        <f>J19</f>
        <v>0</v>
      </c>
      <c r="K15" s="62">
        <f t="shared" ref="K15:AG15" si="15">K19</f>
        <v>0</v>
      </c>
      <c r="L15" s="62">
        <f t="shared" si="15"/>
        <v>0</v>
      </c>
      <c r="M15" s="62">
        <f t="shared" si="15"/>
        <v>0</v>
      </c>
      <c r="N15" s="62">
        <f t="shared" si="15"/>
        <v>0</v>
      </c>
      <c r="O15" s="62">
        <f t="shared" si="15"/>
        <v>0</v>
      </c>
      <c r="P15" s="62">
        <f t="shared" si="15"/>
        <v>0</v>
      </c>
      <c r="Q15" s="62">
        <f t="shared" si="15"/>
        <v>0</v>
      </c>
      <c r="R15" s="62">
        <f t="shared" si="15"/>
        <v>96.4</v>
      </c>
      <c r="S15" s="62">
        <f t="shared" si="15"/>
        <v>0</v>
      </c>
      <c r="T15" s="62">
        <f t="shared" si="15"/>
        <v>0</v>
      </c>
      <c r="U15" s="62">
        <f t="shared" si="15"/>
        <v>0</v>
      </c>
      <c r="V15" s="62">
        <f t="shared" si="15"/>
        <v>0</v>
      </c>
      <c r="W15" s="62">
        <f t="shared" si="15"/>
        <v>0</v>
      </c>
      <c r="X15" s="62">
        <f t="shared" si="15"/>
        <v>0</v>
      </c>
      <c r="Y15" s="62">
        <f t="shared" si="15"/>
        <v>0</v>
      </c>
      <c r="Z15" s="62">
        <f t="shared" si="15"/>
        <v>0</v>
      </c>
      <c r="AA15" s="62">
        <f t="shared" si="15"/>
        <v>0</v>
      </c>
      <c r="AB15" s="62">
        <f t="shared" si="15"/>
        <v>0</v>
      </c>
      <c r="AC15" s="62">
        <f t="shared" si="15"/>
        <v>0</v>
      </c>
      <c r="AD15" s="62">
        <f t="shared" si="15"/>
        <v>0</v>
      </c>
      <c r="AE15" s="62">
        <f t="shared" si="15"/>
        <v>0</v>
      </c>
      <c r="AF15" s="62">
        <f t="shared" si="15"/>
        <v>0</v>
      </c>
      <c r="AG15" s="62">
        <f t="shared" si="15"/>
        <v>0</v>
      </c>
      <c r="AH15" s="60"/>
      <c r="AI15" s="23"/>
    </row>
    <row r="16" spans="1:35" s="21" customFormat="1" ht="37.5" customHeight="1" x14ac:dyDescent="0.25">
      <c r="A16" s="374"/>
      <c r="B16" s="377"/>
      <c r="C16" s="126" t="s">
        <v>22</v>
      </c>
      <c r="D16" s="74">
        <f>SUM(J16,L16,N16,P16,R16,T16,V16,X16,Z16,AB16,AD16,AF16)</f>
        <v>492.20000000000016</v>
      </c>
      <c r="E16" s="62">
        <f>J16</f>
        <v>0</v>
      </c>
      <c r="F16" s="62">
        <f>G16</f>
        <v>0</v>
      </c>
      <c r="G16" s="62">
        <f>SUM(K16,M16,O16,Q16,S16,U16,W16,Y16,AA16,AC16,AE16,AG16)</f>
        <v>0</v>
      </c>
      <c r="H16" s="62">
        <f t="shared" si="13"/>
        <v>0</v>
      </c>
      <c r="I16" s="62">
        <f t="shared" si="14"/>
        <v>0</v>
      </c>
      <c r="J16" s="63">
        <f>J20+J24+J28</f>
        <v>0</v>
      </c>
      <c r="K16" s="63">
        <f t="shared" ref="K16:AG17" si="16">K20+K24+K28</f>
        <v>0</v>
      </c>
      <c r="L16" s="63">
        <f t="shared" si="16"/>
        <v>0</v>
      </c>
      <c r="M16" s="63">
        <f t="shared" si="16"/>
        <v>0</v>
      </c>
      <c r="N16" s="63">
        <f t="shared" si="16"/>
        <v>10.1</v>
      </c>
      <c r="O16" s="63">
        <f t="shared" si="16"/>
        <v>0</v>
      </c>
      <c r="P16" s="63">
        <f t="shared" si="16"/>
        <v>13</v>
      </c>
      <c r="Q16" s="63">
        <f t="shared" si="16"/>
        <v>0</v>
      </c>
      <c r="R16" s="63">
        <f t="shared" si="16"/>
        <v>236.36</v>
      </c>
      <c r="S16" s="63">
        <f t="shared" si="16"/>
        <v>0</v>
      </c>
      <c r="T16" s="63">
        <f t="shared" si="16"/>
        <v>22.1</v>
      </c>
      <c r="U16" s="63">
        <f t="shared" si="16"/>
        <v>0</v>
      </c>
      <c r="V16" s="63">
        <f t="shared" si="16"/>
        <v>22.1</v>
      </c>
      <c r="W16" s="63">
        <f t="shared" si="16"/>
        <v>0</v>
      </c>
      <c r="X16" s="63">
        <f t="shared" si="16"/>
        <v>22.1</v>
      </c>
      <c r="Y16" s="63">
        <f t="shared" si="16"/>
        <v>0</v>
      </c>
      <c r="Z16" s="63">
        <f t="shared" si="16"/>
        <v>89.3</v>
      </c>
      <c r="AA16" s="63">
        <f t="shared" si="16"/>
        <v>0</v>
      </c>
      <c r="AB16" s="63">
        <f t="shared" si="16"/>
        <v>22.1</v>
      </c>
      <c r="AC16" s="63">
        <f t="shared" si="16"/>
        <v>0</v>
      </c>
      <c r="AD16" s="63">
        <f t="shared" si="16"/>
        <v>22.1</v>
      </c>
      <c r="AE16" s="63">
        <f t="shared" si="16"/>
        <v>0</v>
      </c>
      <c r="AF16" s="63">
        <f t="shared" si="16"/>
        <v>32.94</v>
      </c>
      <c r="AG16" s="63">
        <f t="shared" si="16"/>
        <v>0</v>
      </c>
      <c r="AH16" s="60"/>
      <c r="AI16" s="23"/>
    </row>
    <row r="17" spans="1:35" s="22" customFormat="1" ht="33" customHeight="1" x14ac:dyDescent="0.25">
      <c r="A17" s="375"/>
      <c r="B17" s="378"/>
      <c r="C17" s="126" t="s">
        <v>21</v>
      </c>
      <c r="D17" s="74">
        <f>SUM(J17,L17,N17,P17,R17,T17,V17,X17,Z17,AB17,AD17,AF17)</f>
        <v>147.30000000000001</v>
      </c>
      <c r="E17" s="62">
        <f>J17</f>
        <v>0</v>
      </c>
      <c r="F17" s="62">
        <f>G17</f>
        <v>11.65</v>
      </c>
      <c r="G17" s="62">
        <f>SUM(K17,M17,O17,Q17,S17,U17,W17,Y17,AA17,AC17,AE17,AG17)</f>
        <v>11.65</v>
      </c>
      <c r="H17" s="62">
        <f t="shared" si="13"/>
        <v>7.9090291921249154</v>
      </c>
      <c r="I17" s="62">
        <f t="shared" si="14"/>
        <v>0</v>
      </c>
      <c r="J17" s="67">
        <f>J21+J25+J29</f>
        <v>0</v>
      </c>
      <c r="K17" s="67">
        <f t="shared" si="16"/>
        <v>0</v>
      </c>
      <c r="L17" s="67">
        <f t="shared" si="16"/>
        <v>11.65</v>
      </c>
      <c r="M17" s="67">
        <f t="shared" si="16"/>
        <v>11.65</v>
      </c>
      <c r="N17" s="67">
        <f t="shared" si="16"/>
        <v>10.950000000000001</v>
      </c>
      <c r="O17" s="67">
        <f t="shared" si="16"/>
        <v>0</v>
      </c>
      <c r="P17" s="67">
        <f t="shared" si="16"/>
        <v>11.350000000000001</v>
      </c>
      <c r="Q17" s="67">
        <f t="shared" si="16"/>
        <v>0</v>
      </c>
      <c r="R17" s="67">
        <f t="shared" si="16"/>
        <v>79.924999999999997</v>
      </c>
      <c r="S17" s="67">
        <f t="shared" si="16"/>
        <v>0</v>
      </c>
      <c r="T17" s="67">
        <f t="shared" si="16"/>
        <v>2.25</v>
      </c>
      <c r="U17" s="67">
        <f t="shared" si="16"/>
        <v>0</v>
      </c>
      <c r="V17" s="67">
        <f t="shared" si="16"/>
        <v>2.25</v>
      </c>
      <c r="W17" s="67">
        <f t="shared" si="16"/>
        <v>0</v>
      </c>
      <c r="X17" s="67">
        <f t="shared" si="16"/>
        <v>2.25</v>
      </c>
      <c r="Y17" s="67">
        <f t="shared" si="16"/>
        <v>0</v>
      </c>
      <c r="Z17" s="67">
        <f t="shared" si="16"/>
        <v>19.05</v>
      </c>
      <c r="AA17" s="67">
        <f t="shared" si="16"/>
        <v>0</v>
      </c>
      <c r="AB17" s="67">
        <f t="shared" si="16"/>
        <v>2.25</v>
      </c>
      <c r="AC17" s="67">
        <f t="shared" si="16"/>
        <v>0</v>
      </c>
      <c r="AD17" s="67">
        <f t="shared" si="16"/>
        <v>2.25</v>
      </c>
      <c r="AE17" s="67">
        <f t="shared" si="16"/>
        <v>0</v>
      </c>
      <c r="AF17" s="67">
        <f t="shared" si="16"/>
        <v>3.125</v>
      </c>
      <c r="AG17" s="67">
        <f t="shared" si="16"/>
        <v>0</v>
      </c>
      <c r="AH17" s="64"/>
      <c r="AI17" s="20"/>
    </row>
    <row r="18" spans="1:35" s="21" customFormat="1" ht="21" customHeight="1" x14ac:dyDescent="0.25">
      <c r="A18" s="373"/>
      <c r="B18" s="384" t="s">
        <v>117</v>
      </c>
      <c r="C18" s="125" t="s">
        <v>20</v>
      </c>
      <c r="D18" s="70">
        <f>D20+D21+D19</f>
        <v>273.89999999999998</v>
      </c>
      <c r="E18" s="58">
        <f t="shared" ref="E18:G18" si="17">E20+E21+E19</f>
        <v>0</v>
      </c>
      <c r="F18" s="58">
        <f t="shared" si="17"/>
        <v>0</v>
      </c>
      <c r="G18" s="58">
        <f t="shared" si="17"/>
        <v>0</v>
      </c>
      <c r="H18" s="58">
        <f t="shared" si="13"/>
        <v>0</v>
      </c>
      <c r="I18" s="58">
        <f t="shared" si="14"/>
        <v>0</v>
      </c>
      <c r="J18" s="58">
        <f t="shared" ref="J18:AG18" si="18">J20+J21+J19</f>
        <v>0</v>
      </c>
      <c r="K18" s="58">
        <f t="shared" si="18"/>
        <v>0</v>
      </c>
      <c r="L18" s="58">
        <f t="shared" si="18"/>
        <v>0</v>
      </c>
      <c r="M18" s="58">
        <f t="shared" si="18"/>
        <v>0</v>
      </c>
      <c r="N18" s="58">
        <f t="shared" si="18"/>
        <v>0</v>
      </c>
      <c r="O18" s="58">
        <f t="shared" si="18"/>
        <v>0</v>
      </c>
      <c r="P18" s="58">
        <f t="shared" si="18"/>
        <v>0</v>
      </c>
      <c r="Q18" s="58">
        <f t="shared" si="18"/>
        <v>0</v>
      </c>
      <c r="R18" s="58">
        <f t="shared" si="18"/>
        <v>273.875</v>
      </c>
      <c r="S18" s="58">
        <f t="shared" si="18"/>
        <v>0</v>
      </c>
      <c r="T18" s="58">
        <f t="shared" si="18"/>
        <v>0</v>
      </c>
      <c r="U18" s="58">
        <f t="shared" si="18"/>
        <v>0</v>
      </c>
      <c r="V18" s="58">
        <f t="shared" si="18"/>
        <v>0</v>
      </c>
      <c r="W18" s="58">
        <f t="shared" si="18"/>
        <v>0</v>
      </c>
      <c r="X18" s="58">
        <f t="shared" si="18"/>
        <v>0</v>
      </c>
      <c r="Y18" s="58">
        <f t="shared" si="18"/>
        <v>0</v>
      </c>
      <c r="Z18" s="58">
        <f t="shared" si="18"/>
        <v>0</v>
      </c>
      <c r="AA18" s="58">
        <f t="shared" si="18"/>
        <v>0</v>
      </c>
      <c r="AB18" s="58">
        <f t="shared" si="18"/>
        <v>0</v>
      </c>
      <c r="AC18" s="58">
        <f t="shared" si="18"/>
        <v>0</v>
      </c>
      <c r="AD18" s="58">
        <f t="shared" si="18"/>
        <v>0</v>
      </c>
      <c r="AE18" s="58">
        <f t="shared" si="18"/>
        <v>0</v>
      </c>
      <c r="AF18" s="58">
        <f t="shared" si="18"/>
        <v>2.5000000000000001E-2</v>
      </c>
      <c r="AG18" s="58">
        <f t="shared" si="18"/>
        <v>0</v>
      </c>
      <c r="AH18" s="60"/>
      <c r="AI18" s="23"/>
    </row>
    <row r="19" spans="1:35" s="21" customFormat="1" ht="23.25" customHeight="1" x14ac:dyDescent="0.25">
      <c r="A19" s="374"/>
      <c r="B19" s="385"/>
      <c r="C19" s="126" t="s">
        <v>52</v>
      </c>
      <c r="D19" s="74">
        <f>SUM(J19,L19,N19,P19,R19,T19,V19,X19,Z19,AB19,AD19,AF19)</f>
        <v>96.4</v>
      </c>
      <c r="E19" s="62">
        <f>J19</f>
        <v>0</v>
      </c>
      <c r="F19" s="62">
        <f>G19</f>
        <v>0</v>
      </c>
      <c r="G19" s="62">
        <f>SUM(K19,M19,O19,Q19,S19,U19,W19,Y19,AA19,AC19,AE19,AG19)</f>
        <v>0</v>
      </c>
      <c r="H19" s="62">
        <f t="shared" si="13"/>
        <v>0</v>
      </c>
      <c r="I19" s="62">
        <f t="shared" si="14"/>
        <v>0</v>
      </c>
      <c r="J19" s="62">
        <v>0</v>
      </c>
      <c r="K19" s="62">
        <v>0</v>
      </c>
      <c r="L19" s="62">
        <v>0</v>
      </c>
      <c r="M19" s="62">
        <v>0</v>
      </c>
      <c r="N19" s="62">
        <v>0</v>
      </c>
      <c r="O19" s="62">
        <v>0</v>
      </c>
      <c r="P19" s="62">
        <v>0</v>
      </c>
      <c r="Q19" s="62">
        <v>0</v>
      </c>
      <c r="R19" s="62">
        <v>96.4</v>
      </c>
      <c r="S19" s="62">
        <v>0</v>
      </c>
      <c r="T19" s="62">
        <v>0</v>
      </c>
      <c r="U19" s="62">
        <v>0</v>
      </c>
      <c r="V19" s="62">
        <v>0</v>
      </c>
      <c r="W19" s="62">
        <v>0</v>
      </c>
      <c r="X19" s="62">
        <v>0</v>
      </c>
      <c r="Y19" s="62">
        <v>0</v>
      </c>
      <c r="Z19" s="62">
        <v>0</v>
      </c>
      <c r="AA19" s="62">
        <v>0</v>
      </c>
      <c r="AB19" s="62">
        <v>0</v>
      </c>
      <c r="AC19" s="62">
        <v>0</v>
      </c>
      <c r="AD19" s="62">
        <v>0</v>
      </c>
      <c r="AE19" s="62">
        <v>0</v>
      </c>
      <c r="AF19" s="62">
        <v>0</v>
      </c>
      <c r="AG19" s="62">
        <v>0</v>
      </c>
      <c r="AH19" s="60"/>
      <c r="AI19" s="23"/>
    </row>
    <row r="20" spans="1:35" s="21" customFormat="1" ht="36.75" customHeight="1" x14ac:dyDescent="0.25">
      <c r="A20" s="374"/>
      <c r="B20" s="385"/>
      <c r="C20" s="126" t="s">
        <v>22</v>
      </c>
      <c r="D20" s="74">
        <f>SUM(J20,L20,N20,P20,R20,T20,V20,X20,Z20,AB20,AD20,AF20)</f>
        <v>122.7</v>
      </c>
      <c r="E20" s="62">
        <f>J20</f>
        <v>0</v>
      </c>
      <c r="F20" s="62">
        <f>G20</f>
        <v>0</v>
      </c>
      <c r="G20" s="62">
        <f>SUM(K20,M20,O20,Q20,S20,U20,W20,Y20,AA20,AC20,AE20,AG20)</f>
        <v>0</v>
      </c>
      <c r="H20" s="62">
        <f t="shared" si="13"/>
        <v>0</v>
      </c>
      <c r="I20" s="62">
        <f t="shared" si="14"/>
        <v>0</v>
      </c>
      <c r="J20" s="63">
        <v>0</v>
      </c>
      <c r="K20" s="63">
        <v>0</v>
      </c>
      <c r="L20" s="63">
        <v>0</v>
      </c>
      <c r="M20" s="63">
        <v>0</v>
      </c>
      <c r="N20" s="63">
        <v>0</v>
      </c>
      <c r="O20" s="63">
        <v>0</v>
      </c>
      <c r="P20" s="63">
        <v>0</v>
      </c>
      <c r="Q20" s="63">
        <v>0</v>
      </c>
      <c r="R20" s="63">
        <v>122.7</v>
      </c>
      <c r="S20" s="63">
        <v>0</v>
      </c>
      <c r="T20" s="63">
        <v>0</v>
      </c>
      <c r="U20" s="63">
        <v>0</v>
      </c>
      <c r="V20" s="63">
        <v>0</v>
      </c>
      <c r="W20" s="63">
        <v>0</v>
      </c>
      <c r="X20" s="63">
        <v>0</v>
      </c>
      <c r="Y20" s="63">
        <v>0</v>
      </c>
      <c r="Z20" s="63">
        <v>0</v>
      </c>
      <c r="AA20" s="63">
        <v>0</v>
      </c>
      <c r="AB20" s="63">
        <v>0</v>
      </c>
      <c r="AC20" s="63">
        <v>0</v>
      </c>
      <c r="AD20" s="63">
        <v>0</v>
      </c>
      <c r="AE20" s="63">
        <v>0</v>
      </c>
      <c r="AF20" s="63">
        <v>0</v>
      </c>
      <c r="AG20" s="63">
        <v>0</v>
      </c>
      <c r="AH20" s="60"/>
      <c r="AI20" s="23"/>
    </row>
    <row r="21" spans="1:35" s="22" customFormat="1" ht="33" customHeight="1" x14ac:dyDescent="0.25">
      <c r="A21" s="375"/>
      <c r="B21" s="408"/>
      <c r="C21" s="126" t="s">
        <v>21</v>
      </c>
      <c r="D21" s="74">
        <f>SUM(J21,L21,N21,P21,R21,T21,V21,X21,Z21,AB21,AD21,AF21)</f>
        <v>54.8</v>
      </c>
      <c r="E21" s="62">
        <f>J21</f>
        <v>0</v>
      </c>
      <c r="F21" s="62">
        <f>G21</f>
        <v>0</v>
      </c>
      <c r="G21" s="62">
        <f>SUM(K21,M21,O21,Q21,S21,U21,W21,Y21,AA21,AC21,AE21,AG21)</f>
        <v>0</v>
      </c>
      <c r="H21" s="62">
        <f t="shared" si="13"/>
        <v>0</v>
      </c>
      <c r="I21" s="62">
        <f t="shared" si="14"/>
        <v>0</v>
      </c>
      <c r="J21" s="67">
        <v>0</v>
      </c>
      <c r="K21" s="67">
        <v>0</v>
      </c>
      <c r="L21" s="67">
        <v>0</v>
      </c>
      <c r="M21" s="67">
        <v>0</v>
      </c>
      <c r="N21" s="67">
        <v>0</v>
      </c>
      <c r="O21" s="67">
        <v>0</v>
      </c>
      <c r="P21" s="67">
        <v>0</v>
      </c>
      <c r="Q21" s="67">
        <v>0</v>
      </c>
      <c r="R21" s="67">
        <v>54.774999999999999</v>
      </c>
      <c r="S21" s="67">
        <v>0</v>
      </c>
      <c r="T21" s="67">
        <v>0</v>
      </c>
      <c r="U21" s="67">
        <v>0</v>
      </c>
      <c r="V21" s="67">
        <v>0</v>
      </c>
      <c r="W21" s="67">
        <v>0</v>
      </c>
      <c r="X21" s="67">
        <v>0</v>
      </c>
      <c r="Y21" s="67">
        <v>0</v>
      </c>
      <c r="Z21" s="67">
        <v>0</v>
      </c>
      <c r="AA21" s="67">
        <v>0</v>
      </c>
      <c r="AB21" s="67">
        <v>0</v>
      </c>
      <c r="AC21" s="67">
        <v>0</v>
      </c>
      <c r="AD21" s="67">
        <v>0</v>
      </c>
      <c r="AE21" s="67">
        <v>0</v>
      </c>
      <c r="AF21" s="67">
        <v>2.5000000000000001E-2</v>
      </c>
      <c r="AG21" s="67">
        <v>0</v>
      </c>
      <c r="AH21" s="64"/>
      <c r="AI21" s="20"/>
    </row>
    <row r="22" spans="1:35" s="21" customFormat="1" ht="18" customHeight="1" x14ac:dyDescent="0.25">
      <c r="A22" s="373"/>
      <c r="B22" s="384" t="s">
        <v>118</v>
      </c>
      <c r="C22" s="125" t="s">
        <v>20</v>
      </c>
      <c r="D22" s="70">
        <f>D24+D25+D23</f>
        <v>184.29999999999998</v>
      </c>
      <c r="E22" s="58">
        <f t="shared" ref="E22:G22" si="19">E24+E25+E23</f>
        <v>23.3</v>
      </c>
      <c r="F22" s="58">
        <f t="shared" si="19"/>
        <v>11.65</v>
      </c>
      <c r="G22" s="58">
        <f t="shared" si="19"/>
        <v>11.65</v>
      </c>
      <c r="H22" s="58">
        <f t="shared" si="13"/>
        <v>6.3212154096581665</v>
      </c>
      <c r="I22" s="58">
        <f t="shared" si="14"/>
        <v>50</v>
      </c>
      <c r="J22" s="58">
        <f t="shared" ref="J22:AG22" si="20">J24+J25+J23</f>
        <v>0</v>
      </c>
      <c r="K22" s="58">
        <f t="shared" si="20"/>
        <v>0</v>
      </c>
      <c r="L22" s="58">
        <f t="shared" si="20"/>
        <v>11.65</v>
      </c>
      <c r="M22" s="58">
        <f t="shared" si="20"/>
        <v>11.65</v>
      </c>
      <c r="N22" s="58">
        <f t="shared" si="20"/>
        <v>11.65</v>
      </c>
      <c r="O22" s="58">
        <f t="shared" si="20"/>
        <v>0</v>
      </c>
      <c r="P22" s="58">
        <f t="shared" si="20"/>
        <v>11.65</v>
      </c>
      <c r="Q22" s="58">
        <f t="shared" si="20"/>
        <v>0</v>
      </c>
      <c r="R22" s="58">
        <f t="shared" si="20"/>
        <v>56.11</v>
      </c>
      <c r="S22" s="58">
        <f t="shared" si="20"/>
        <v>0</v>
      </c>
      <c r="T22" s="58">
        <f t="shared" si="20"/>
        <v>11.65</v>
      </c>
      <c r="U22" s="58">
        <f t="shared" si="20"/>
        <v>0</v>
      </c>
      <c r="V22" s="58">
        <f t="shared" si="20"/>
        <v>11.65</v>
      </c>
      <c r="W22" s="58">
        <f t="shared" si="20"/>
        <v>0</v>
      </c>
      <c r="X22" s="58">
        <f t="shared" si="20"/>
        <v>11.65</v>
      </c>
      <c r="Y22" s="58">
        <f t="shared" si="20"/>
        <v>0</v>
      </c>
      <c r="Z22" s="58">
        <f t="shared" si="20"/>
        <v>11.65</v>
      </c>
      <c r="AA22" s="58">
        <f t="shared" si="20"/>
        <v>0</v>
      </c>
      <c r="AB22" s="58">
        <f t="shared" si="20"/>
        <v>11.65</v>
      </c>
      <c r="AC22" s="58">
        <f t="shared" si="20"/>
        <v>0</v>
      </c>
      <c r="AD22" s="58">
        <f t="shared" si="20"/>
        <v>11.65</v>
      </c>
      <c r="AE22" s="58">
        <f t="shared" si="20"/>
        <v>0</v>
      </c>
      <c r="AF22" s="58">
        <f t="shared" si="20"/>
        <v>23.34</v>
      </c>
      <c r="AG22" s="58">
        <f t="shared" si="20"/>
        <v>0</v>
      </c>
      <c r="AH22" s="60"/>
      <c r="AI22" s="23"/>
    </row>
    <row r="23" spans="1:35" s="21" customFormat="1" ht="36" hidden="1" customHeight="1" x14ac:dyDescent="0.25">
      <c r="A23" s="374"/>
      <c r="B23" s="385"/>
      <c r="C23" s="126" t="s">
        <v>52</v>
      </c>
      <c r="D23" s="74">
        <f>SUM(J23,L23,N23,P23,R23,T23,V23,X23,Z23,AB23,AD23,AF23)</f>
        <v>0</v>
      </c>
      <c r="E23" s="62">
        <f>J23</f>
        <v>0</v>
      </c>
      <c r="F23" s="62">
        <f>G23</f>
        <v>0</v>
      </c>
      <c r="G23" s="62">
        <f>SUM(K23,M23,O23,Q23,S23,U23,W23,Y23,AA23,AC23,AE23,AG23)</f>
        <v>0</v>
      </c>
      <c r="H23" s="62">
        <f t="shared" si="13"/>
        <v>0</v>
      </c>
      <c r="I23" s="62">
        <f t="shared" si="14"/>
        <v>0</v>
      </c>
      <c r="J23" s="62">
        <v>0</v>
      </c>
      <c r="K23" s="62">
        <v>0</v>
      </c>
      <c r="L23" s="62">
        <v>0</v>
      </c>
      <c r="M23" s="62">
        <v>0</v>
      </c>
      <c r="N23" s="62">
        <v>0</v>
      </c>
      <c r="O23" s="62">
        <v>0</v>
      </c>
      <c r="P23" s="62">
        <v>0</v>
      </c>
      <c r="Q23" s="62">
        <v>0</v>
      </c>
      <c r="R23" s="62">
        <v>0</v>
      </c>
      <c r="S23" s="62">
        <v>0</v>
      </c>
      <c r="T23" s="62">
        <v>0</v>
      </c>
      <c r="U23" s="62">
        <v>0</v>
      </c>
      <c r="V23" s="62">
        <v>0</v>
      </c>
      <c r="W23" s="62">
        <v>0</v>
      </c>
      <c r="X23" s="62">
        <v>0</v>
      </c>
      <c r="Y23" s="62">
        <v>0</v>
      </c>
      <c r="Z23" s="62">
        <v>0</v>
      </c>
      <c r="AA23" s="62">
        <v>0</v>
      </c>
      <c r="AB23" s="62">
        <v>0</v>
      </c>
      <c r="AC23" s="62">
        <v>0</v>
      </c>
      <c r="AD23" s="62">
        <v>0</v>
      </c>
      <c r="AE23" s="62">
        <v>0</v>
      </c>
      <c r="AF23" s="62">
        <v>0</v>
      </c>
      <c r="AG23" s="62">
        <v>0</v>
      </c>
      <c r="AH23" s="60"/>
      <c r="AI23" s="23"/>
    </row>
    <row r="24" spans="1:35" s="21" customFormat="1" ht="37.5" customHeight="1" x14ac:dyDescent="0.25">
      <c r="A24" s="374"/>
      <c r="B24" s="385"/>
      <c r="C24" s="126" t="s">
        <v>22</v>
      </c>
      <c r="D24" s="74">
        <f>SUM(J24,L24,N24,P24,R24,T24,V24,X24,Z24,AB24,AD24,AF24)</f>
        <v>147.39999999999998</v>
      </c>
      <c r="E24" s="62">
        <f>J24+L24+N24</f>
        <v>10.1</v>
      </c>
      <c r="F24" s="62">
        <f>G24</f>
        <v>0</v>
      </c>
      <c r="G24" s="62">
        <f>SUM(K24,M24,O24,Q24,S24,U24,W24,Y24,AA24,AC24,AE24,AG24)</f>
        <v>0</v>
      </c>
      <c r="H24" s="62">
        <f t="shared" si="13"/>
        <v>0</v>
      </c>
      <c r="I24" s="62">
        <f t="shared" si="14"/>
        <v>0</v>
      </c>
      <c r="J24" s="63">
        <v>0</v>
      </c>
      <c r="K24" s="63">
        <v>0</v>
      </c>
      <c r="L24" s="63">
        <v>0</v>
      </c>
      <c r="M24" s="63">
        <v>0</v>
      </c>
      <c r="N24" s="63">
        <v>10.1</v>
      </c>
      <c r="O24" s="63">
        <v>0</v>
      </c>
      <c r="P24" s="63">
        <v>10.1</v>
      </c>
      <c r="Q24" s="63">
        <v>0</v>
      </c>
      <c r="R24" s="63">
        <v>45.66</v>
      </c>
      <c r="S24" s="63">
        <v>0</v>
      </c>
      <c r="T24" s="63">
        <v>10.1</v>
      </c>
      <c r="U24" s="63">
        <v>0</v>
      </c>
      <c r="V24" s="63">
        <v>10.1</v>
      </c>
      <c r="W24" s="63">
        <v>0</v>
      </c>
      <c r="X24" s="63">
        <v>10.1</v>
      </c>
      <c r="Y24" s="63">
        <v>0</v>
      </c>
      <c r="Z24" s="63">
        <v>10.1</v>
      </c>
      <c r="AA24" s="63">
        <v>0</v>
      </c>
      <c r="AB24" s="63">
        <v>10.1</v>
      </c>
      <c r="AC24" s="63">
        <v>0</v>
      </c>
      <c r="AD24" s="63">
        <v>10.1</v>
      </c>
      <c r="AE24" s="63">
        <v>0</v>
      </c>
      <c r="AF24" s="63">
        <v>20.94</v>
      </c>
      <c r="AG24" s="63">
        <v>0</v>
      </c>
      <c r="AH24" s="60"/>
      <c r="AI24" s="23"/>
    </row>
    <row r="25" spans="1:35" s="22" customFormat="1" ht="28.5" customHeight="1" x14ac:dyDescent="0.25">
      <c r="A25" s="375"/>
      <c r="B25" s="408"/>
      <c r="C25" s="126" t="s">
        <v>21</v>
      </c>
      <c r="D25" s="74">
        <f>SUM(J25,L25,N25,P25,R25,T25,V25,X25,Z25,AB25,AD25,AF25)</f>
        <v>36.9</v>
      </c>
      <c r="E25" s="62">
        <f>J25+L25+N25</f>
        <v>13.200000000000001</v>
      </c>
      <c r="F25" s="62">
        <f>G25</f>
        <v>11.65</v>
      </c>
      <c r="G25" s="62">
        <f>SUM(K25,M25,O25,Q25,S25,U25,W25,Y25,AA25,AC25,AE25,AG25)</f>
        <v>11.65</v>
      </c>
      <c r="H25" s="62">
        <f t="shared" si="13"/>
        <v>31.571815718157183</v>
      </c>
      <c r="I25" s="62">
        <f t="shared" si="14"/>
        <v>88.257575757575751</v>
      </c>
      <c r="J25" s="67">
        <v>0</v>
      </c>
      <c r="K25" s="67">
        <v>0</v>
      </c>
      <c r="L25" s="67">
        <v>11.65</v>
      </c>
      <c r="M25" s="67">
        <v>11.65</v>
      </c>
      <c r="N25" s="67">
        <v>1.55</v>
      </c>
      <c r="O25" s="67">
        <v>0</v>
      </c>
      <c r="P25" s="67">
        <v>1.55</v>
      </c>
      <c r="Q25" s="67">
        <v>0</v>
      </c>
      <c r="R25" s="67">
        <v>10.45</v>
      </c>
      <c r="S25" s="67">
        <v>0</v>
      </c>
      <c r="T25" s="67">
        <v>1.55</v>
      </c>
      <c r="U25" s="67">
        <v>0</v>
      </c>
      <c r="V25" s="67">
        <v>1.55</v>
      </c>
      <c r="W25" s="67">
        <v>0</v>
      </c>
      <c r="X25" s="67">
        <v>1.55</v>
      </c>
      <c r="Y25" s="67">
        <v>0</v>
      </c>
      <c r="Z25" s="67">
        <v>1.55</v>
      </c>
      <c r="AA25" s="67">
        <v>0</v>
      </c>
      <c r="AB25" s="67">
        <v>1.55</v>
      </c>
      <c r="AC25" s="67">
        <v>0</v>
      </c>
      <c r="AD25" s="67">
        <v>1.55</v>
      </c>
      <c r="AE25" s="67">
        <v>0</v>
      </c>
      <c r="AF25" s="67">
        <v>2.4</v>
      </c>
      <c r="AG25" s="67">
        <v>0</v>
      </c>
      <c r="AH25" s="64"/>
      <c r="AI25" s="20"/>
    </row>
    <row r="26" spans="1:35" s="21" customFormat="1" ht="24.75" customHeight="1" x14ac:dyDescent="0.25">
      <c r="A26" s="373"/>
      <c r="B26" s="384" t="s">
        <v>119</v>
      </c>
      <c r="C26" s="125" t="s">
        <v>20</v>
      </c>
      <c r="D26" s="70">
        <f>D28+D29+D27</f>
        <v>277.70000000000005</v>
      </c>
      <c r="E26" s="58">
        <f t="shared" ref="E26:G26" si="21">E28+E29+E27</f>
        <v>9.4</v>
      </c>
      <c r="F26" s="58">
        <f t="shared" si="21"/>
        <v>0</v>
      </c>
      <c r="G26" s="58">
        <f t="shared" si="21"/>
        <v>0</v>
      </c>
      <c r="H26" s="58">
        <f t="shared" si="13"/>
        <v>0</v>
      </c>
      <c r="I26" s="58">
        <f t="shared" si="14"/>
        <v>0</v>
      </c>
      <c r="J26" s="58">
        <f t="shared" ref="J26:AG26" si="22">J28+J29+J27</f>
        <v>0</v>
      </c>
      <c r="K26" s="58">
        <f t="shared" si="22"/>
        <v>0</v>
      </c>
      <c r="L26" s="58">
        <f t="shared" si="22"/>
        <v>0</v>
      </c>
      <c r="M26" s="58">
        <f t="shared" si="22"/>
        <v>0</v>
      </c>
      <c r="N26" s="58">
        <f t="shared" si="22"/>
        <v>9.4</v>
      </c>
      <c r="O26" s="58">
        <f t="shared" si="22"/>
        <v>0</v>
      </c>
      <c r="P26" s="58">
        <f t="shared" si="22"/>
        <v>12.700000000000001</v>
      </c>
      <c r="Q26" s="58">
        <f t="shared" si="22"/>
        <v>0</v>
      </c>
      <c r="R26" s="58">
        <f t="shared" si="22"/>
        <v>82.7</v>
      </c>
      <c r="S26" s="58">
        <f t="shared" si="22"/>
        <v>0</v>
      </c>
      <c r="T26" s="58">
        <f t="shared" si="22"/>
        <v>12.7</v>
      </c>
      <c r="U26" s="58">
        <f t="shared" si="22"/>
        <v>0</v>
      </c>
      <c r="V26" s="58">
        <f t="shared" si="22"/>
        <v>12.7</v>
      </c>
      <c r="W26" s="58">
        <f t="shared" si="22"/>
        <v>0</v>
      </c>
      <c r="X26" s="58">
        <f t="shared" si="22"/>
        <v>12.7</v>
      </c>
      <c r="Y26" s="58">
        <f t="shared" si="22"/>
        <v>0</v>
      </c>
      <c r="Z26" s="58">
        <f t="shared" si="22"/>
        <v>96.7</v>
      </c>
      <c r="AA26" s="58">
        <f t="shared" si="22"/>
        <v>0</v>
      </c>
      <c r="AB26" s="58">
        <f t="shared" si="22"/>
        <v>12.7</v>
      </c>
      <c r="AC26" s="58">
        <f t="shared" si="22"/>
        <v>0</v>
      </c>
      <c r="AD26" s="58">
        <f t="shared" si="22"/>
        <v>12.7</v>
      </c>
      <c r="AE26" s="58">
        <f t="shared" si="22"/>
        <v>0</v>
      </c>
      <c r="AF26" s="58">
        <f t="shared" si="22"/>
        <v>12.7</v>
      </c>
      <c r="AG26" s="58">
        <f t="shared" si="22"/>
        <v>0</v>
      </c>
      <c r="AH26" s="338"/>
      <c r="AI26" s="23"/>
    </row>
    <row r="27" spans="1:35" s="21" customFormat="1" ht="42.75" hidden="1" customHeight="1" x14ac:dyDescent="0.25">
      <c r="A27" s="374"/>
      <c r="B27" s="385"/>
      <c r="C27" s="126" t="s">
        <v>52</v>
      </c>
      <c r="D27" s="74">
        <f>SUM(J27,L27,N27,P27,R27,T27,V27,X27,Z27,AB27,AD27,AF27)</f>
        <v>0</v>
      </c>
      <c r="E27" s="62">
        <f>J27</f>
        <v>0</v>
      </c>
      <c r="F27" s="62">
        <f>G27</f>
        <v>0</v>
      </c>
      <c r="G27" s="62">
        <f>SUM(K27,M27,O27,Q27,S27,U27,W27,Y27,AA27,AC27,AE27,AG27)</f>
        <v>0</v>
      </c>
      <c r="H27" s="62">
        <f t="shared" si="13"/>
        <v>0</v>
      </c>
      <c r="I27" s="62">
        <f t="shared" si="14"/>
        <v>0</v>
      </c>
      <c r="J27" s="62">
        <v>0</v>
      </c>
      <c r="K27" s="62">
        <v>0</v>
      </c>
      <c r="L27" s="62">
        <v>0</v>
      </c>
      <c r="M27" s="62">
        <v>0</v>
      </c>
      <c r="N27" s="62">
        <v>0</v>
      </c>
      <c r="O27" s="62">
        <v>0</v>
      </c>
      <c r="P27" s="62">
        <v>0</v>
      </c>
      <c r="Q27" s="62">
        <v>0</v>
      </c>
      <c r="R27" s="62">
        <v>0</v>
      </c>
      <c r="S27" s="62">
        <v>0</v>
      </c>
      <c r="T27" s="62">
        <v>0</v>
      </c>
      <c r="U27" s="62">
        <v>0</v>
      </c>
      <c r="V27" s="62">
        <v>0</v>
      </c>
      <c r="W27" s="62">
        <v>0</v>
      </c>
      <c r="X27" s="62">
        <v>0</v>
      </c>
      <c r="Y27" s="62">
        <v>0</v>
      </c>
      <c r="Z27" s="62">
        <v>0</v>
      </c>
      <c r="AA27" s="62">
        <v>0</v>
      </c>
      <c r="AB27" s="62">
        <v>0</v>
      </c>
      <c r="AC27" s="62">
        <v>0</v>
      </c>
      <c r="AD27" s="62">
        <v>0</v>
      </c>
      <c r="AE27" s="62">
        <v>0</v>
      </c>
      <c r="AF27" s="62">
        <v>0</v>
      </c>
      <c r="AG27" s="62">
        <v>0</v>
      </c>
      <c r="AH27" s="60"/>
      <c r="AI27" s="23"/>
    </row>
    <row r="28" spans="1:35" s="21" customFormat="1" ht="48" customHeight="1" x14ac:dyDescent="0.25">
      <c r="A28" s="374"/>
      <c r="B28" s="385"/>
      <c r="C28" s="126" t="s">
        <v>22</v>
      </c>
      <c r="D28" s="74">
        <f>SUM(J28,L28,N28,P28,R28,T28,V28,X28,Z28,AB28,AD28,AF28)</f>
        <v>222.10000000000002</v>
      </c>
      <c r="E28" s="62">
        <f>J28</f>
        <v>0</v>
      </c>
      <c r="F28" s="62">
        <f>G28</f>
        <v>0</v>
      </c>
      <c r="G28" s="62">
        <f>SUM(K28,M28,O28,Q28,S28,U28,W28,Y28,AA28,AC28,AE28,AG28)</f>
        <v>0</v>
      </c>
      <c r="H28" s="62">
        <f t="shared" si="13"/>
        <v>0</v>
      </c>
      <c r="I28" s="62">
        <f t="shared" si="14"/>
        <v>0</v>
      </c>
      <c r="J28" s="63">
        <v>0</v>
      </c>
      <c r="K28" s="63">
        <v>0</v>
      </c>
      <c r="L28" s="63">
        <v>0</v>
      </c>
      <c r="M28" s="63">
        <v>0</v>
      </c>
      <c r="N28" s="63">
        <v>0</v>
      </c>
      <c r="O28" s="63">
        <v>0</v>
      </c>
      <c r="P28" s="63">
        <v>2.9</v>
      </c>
      <c r="Q28" s="63">
        <v>0</v>
      </c>
      <c r="R28" s="63">
        <v>68</v>
      </c>
      <c r="S28" s="63">
        <v>0</v>
      </c>
      <c r="T28" s="63">
        <v>12</v>
      </c>
      <c r="U28" s="63">
        <v>0</v>
      </c>
      <c r="V28" s="63">
        <v>12</v>
      </c>
      <c r="W28" s="63">
        <v>0</v>
      </c>
      <c r="X28" s="63">
        <v>12</v>
      </c>
      <c r="Y28" s="63">
        <v>0</v>
      </c>
      <c r="Z28" s="63">
        <v>79.2</v>
      </c>
      <c r="AA28" s="63">
        <v>0</v>
      </c>
      <c r="AB28" s="63">
        <v>12</v>
      </c>
      <c r="AC28" s="63">
        <v>0</v>
      </c>
      <c r="AD28" s="63">
        <v>12</v>
      </c>
      <c r="AE28" s="63">
        <v>0</v>
      </c>
      <c r="AF28" s="63">
        <v>12</v>
      </c>
      <c r="AG28" s="63">
        <v>0</v>
      </c>
      <c r="AH28" s="60"/>
      <c r="AI28" s="23"/>
    </row>
    <row r="29" spans="1:35" s="22" customFormat="1" ht="38.25" customHeight="1" x14ac:dyDescent="0.25">
      <c r="A29" s="375"/>
      <c r="B29" s="408"/>
      <c r="C29" s="126" t="s">
        <v>21</v>
      </c>
      <c r="D29" s="74">
        <f>SUM(J29,L29,N29,P29,R29,T29,V29,X29,Z29,AB29,AD29,AF29)</f>
        <v>55.600000000000023</v>
      </c>
      <c r="E29" s="62">
        <f>J29+L29+N29</f>
        <v>9.4</v>
      </c>
      <c r="F29" s="62">
        <f>G29</f>
        <v>0</v>
      </c>
      <c r="G29" s="62">
        <f>SUM(K29,M29,O29,Q29,S29,U29,W29,Y29,AA29,AC29,AE29,AG29)</f>
        <v>0</v>
      </c>
      <c r="H29" s="62">
        <f t="shared" si="13"/>
        <v>0</v>
      </c>
      <c r="I29" s="62">
        <f t="shared" si="14"/>
        <v>0</v>
      </c>
      <c r="J29" s="67">
        <v>0</v>
      </c>
      <c r="K29" s="67">
        <v>0</v>
      </c>
      <c r="L29" s="67">
        <v>0</v>
      </c>
      <c r="M29" s="67">
        <v>0</v>
      </c>
      <c r="N29" s="67">
        <v>9.4</v>
      </c>
      <c r="O29" s="67">
        <v>0</v>
      </c>
      <c r="P29" s="67">
        <v>9.8000000000000007</v>
      </c>
      <c r="Q29" s="67">
        <v>0</v>
      </c>
      <c r="R29" s="67">
        <v>14.7</v>
      </c>
      <c r="S29" s="67">
        <v>0</v>
      </c>
      <c r="T29" s="67">
        <v>0.7</v>
      </c>
      <c r="U29" s="67">
        <v>0</v>
      </c>
      <c r="V29" s="67">
        <v>0.7</v>
      </c>
      <c r="W29" s="67">
        <v>0</v>
      </c>
      <c r="X29" s="67">
        <v>0.7</v>
      </c>
      <c r="Y29" s="67">
        <v>0</v>
      </c>
      <c r="Z29" s="67">
        <v>17.5</v>
      </c>
      <c r="AA29" s="67">
        <v>0</v>
      </c>
      <c r="AB29" s="67">
        <v>0.7</v>
      </c>
      <c r="AC29" s="67">
        <v>0</v>
      </c>
      <c r="AD29" s="67">
        <v>0.7</v>
      </c>
      <c r="AE29" s="67">
        <v>0</v>
      </c>
      <c r="AF29" s="67">
        <v>0.7</v>
      </c>
      <c r="AG29" s="67">
        <v>0</v>
      </c>
      <c r="AH29" s="64"/>
      <c r="AI29" s="20"/>
    </row>
    <row r="30" spans="1:35" s="21" customFormat="1" ht="21" customHeight="1" x14ac:dyDescent="0.25">
      <c r="A30" s="373" t="s">
        <v>77</v>
      </c>
      <c r="B30" s="376" t="s">
        <v>120</v>
      </c>
      <c r="C30" s="125" t="s">
        <v>20</v>
      </c>
      <c r="D30" s="70">
        <f>D32+D33+D31</f>
        <v>17366.894</v>
      </c>
      <c r="E30" s="58">
        <f t="shared" ref="E30:G30" si="23">E32+E33+E31</f>
        <v>0</v>
      </c>
      <c r="F30" s="58">
        <f t="shared" si="23"/>
        <v>1486.9740000000002</v>
      </c>
      <c r="G30" s="58">
        <f t="shared" si="23"/>
        <v>0</v>
      </c>
      <c r="H30" s="58">
        <f t="shared" si="13"/>
        <v>0</v>
      </c>
      <c r="I30" s="58">
        <f t="shared" si="14"/>
        <v>0</v>
      </c>
      <c r="J30" s="58">
        <f t="shared" ref="J30:AG30" si="24">J32+J33+J31</f>
        <v>0</v>
      </c>
      <c r="K30" s="58">
        <f t="shared" si="24"/>
        <v>0</v>
      </c>
      <c r="L30" s="58">
        <f t="shared" si="24"/>
        <v>0</v>
      </c>
      <c r="M30" s="58">
        <f t="shared" si="24"/>
        <v>0</v>
      </c>
      <c r="N30" s="58">
        <f t="shared" si="24"/>
        <v>1486.9740000000002</v>
      </c>
      <c r="O30" s="58">
        <f t="shared" si="24"/>
        <v>0</v>
      </c>
      <c r="P30" s="58">
        <f t="shared" si="24"/>
        <v>1549.999</v>
      </c>
      <c r="Q30" s="58">
        <f t="shared" si="24"/>
        <v>0</v>
      </c>
      <c r="R30" s="58">
        <f t="shared" si="24"/>
        <v>14057.022999999999</v>
      </c>
      <c r="S30" s="58">
        <f t="shared" si="24"/>
        <v>0</v>
      </c>
      <c r="T30" s="58">
        <f t="shared" si="24"/>
        <v>0</v>
      </c>
      <c r="U30" s="58">
        <f t="shared" si="24"/>
        <v>0</v>
      </c>
      <c r="V30" s="58">
        <f t="shared" si="24"/>
        <v>0</v>
      </c>
      <c r="W30" s="58">
        <f t="shared" si="24"/>
        <v>0</v>
      </c>
      <c r="X30" s="58">
        <f t="shared" si="24"/>
        <v>0</v>
      </c>
      <c r="Y30" s="58">
        <f t="shared" si="24"/>
        <v>0</v>
      </c>
      <c r="Z30" s="58">
        <f t="shared" si="24"/>
        <v>0</v>
      </c>
      <c r="AA30" s="58">
        <f t="shared" si="24"/>
        <v>0</v>
      </c>
      <c r="AB30" s="58">
        <f t="shared" si="24"/>
        <v>272.83499999999998</v>
      </c>
      <c r="AC30" s="58">
        <f t="shared" si="24"/>
        <v>0</v>
      </c>
      <c r="AD30" s="58">
        <f t="shared" si="24"/>
        <v>0</v>
      </c>
      <c r="AE30" s="58">
        <f t="shared" si="24"/>
        <v>0</v>
      </c>
      <c r="AF30" s="58">
        <f t="shared" si="24"/>
        <v>6.3E-2</v>
      </c>
      <c r="AG30" s="58">
        <f t="shared" si="24"/>
        <v>0</v>
      </c>
      <c r="AH30" s="60"/>
      <c r="AI30" s="23"/>
    </row>
    <row r="31" spans="1:35" s="21" customFormat="1" ht="34.5" customHeight="1" x14ac:dyDescent="0.25">
      <c r="A31" s="374"/>
      <c r="B31" s="377"/>
      <c r="C31" s="126" t="s">
        <v>52</v>
      </c>
      <c r="D31" s="74">
        <f>SUM(J31,L31,N31,P31,R31,T31,V31,X31,Z31,AB31,AD31,AF31)</f>
        <v>6637.6059999999998</v>
      </c>
      <c r="E31" s="62">
        <f>J31</f>
        <v>0</v>
      </c>
      <c r="F31" s="62">
        <v>568.322</v>
      </c>
      <c r="G31" s="62">
        <f>SUM(K31,M31,O31,Q31,S31,U31,W31,Y31,AA31,AC31,AE31,AG31)</f>
        <v>0</v>
      </c>
      <c r="H31" s="62">
        <f t="shared" si="13"/>
        <v>0</v>
      </c>
      <c r="I31" s="62">
        <f t="shared" si="14"/>
        <v>0</v>
      </c>
      <c r="J31" s="62">
        <v>0</v>
      </c>
      <c r="K31" s="62">
        <v>0</v>
      </c>
      <c r="L31" s="62">
        <v>0</v>
      </c>
      <c r="M31" s="62">
        <v>0</v>
      </c>
      <c r="N31" s="62">
        <v>568.322</v>
      </c>
      <c r="O31" s="62">
        <v>0</v>
      </c>
      <c r="P31" s="62">
        <v>592.41</v>
      </c>
      <c r="Q31" s="62">
        <v>0</v>
      </c>
      <c r="R31" s="62">
        <v>5372.5959999999995</v>
      </c>
      <c r="S31" s="62">
        <v>0</v>
      </c>
      <c r="T31" s="62">
        <v>0</v>
      </c>
      <c r="U31" s="62">
        <v>0</v>
      </c>
      <c r="V31" s="62">
        <v>0</v>
      </c>
      <c r="W31" s="62">
        <v>0</v>
      </c>
      <c r="X31" s="62">
        <v>0</v>
      </c>
      <c r="Y31" s="62">
        <v>0</v>
      </c>
      <c r="Z31" s="62">
        <v>0</v>
      </c>
      <c r="AA31" s="62">
        <v>0</v>
      </c>
      <c r="AB31" s="62">
        <v>104.27800000000001</v>
      </c>
      <c r="AC31" s="62">
        <v>0</v>
      </c>
      <c r="AD31" s="62">
        <v>0</v>
      </c>
      <c r="AE31" s="62">
        <v>0</v>
      </c>
      <c r="AF31" s="62">
        <v>0</v>
      </c>
      <c r="AG31" s="62">
        <v>0</v>
      </c>
      <c r="AH31" s="60"/>
      <c r="AI31" s="23"/>
    </row>
    <row r="32" spans="1:35" s="21" customFormat="1" ht="45" customHeight="1" x14ac:dyDescent="0.25">
      <c r="A32" s="374"/>
      <c r="B32" s="377"/>
      <c r="C32" s="126" t="s">
        <v>22</v>
      </c>
      <c r="D32" s="74">
        <f>SUM(J32,L32,N32,P32,R32,T32,V32,X32,Z32,AB32,AD32,AF32)</f>
        <v>10381.890000000001</v>
      </c>
      <c r="E32" s="62">
        <f>J32</f>
        <v>0</v>
      </c>
      <c r="F32" s="62">
        <v>888.91300000000001</v>
      </c>
      <c r="G32" s="62">
        <f>SUM(K32,M32,O32,Q32,S32,U32,W32,Y32,AA32,AC32,AE32,AG32)</f>
        <v>0</v>
      </c>
      <c r="H32" s="62">
        <f t="shared" si="13"/>
        <v>0</v>
      </c>
      <c r="I32" s="62">
        <f t="shared" si="14"/>
        <v>0</v>
      </c>
      <c r="J32" s="63">
        <v>0</v>
      </c>
      <c r="K32" s="63">
        <v>0</v>
      </c>
      <c r="L32" s="63">
        <v>0</v>
      </c>
      <c r="M32" s="63">
        <v>0</v>
      </c>
      <c r="N32" s="63">
        <v>888.91300000000001</v>
      </c>
      <c r="O32" s="63">
        <v>0</v>
      </c>
      <c r="P32" s="63">
        <v>926.58900000000006</v>
      </c>
      <c r="Q32" s="63">
        <v>0</v>
      </c>
      <c r="R32" s="63">
        <v>8403.2870000000003</v>
      </c>
      <c r="S32" s="63">
        <v>0</v>
      </c>
      <c r="T32" s="63">
        <v>0</v>
      </c>
      <c r="U32" s="63">
        <v>0</v>
      </c>
      <c r="V32" s="63">
        <v>0</v>
      </c>
      <c r="W32" s="63">
        <v>0</v>
      </c>
      <c r="X32" s="63">
        <v>0</v>
      </c>
      <c r="Y32" s="63">
        <v>0</v>
      </c>
      <c r="Z32" s="63">
        <v>0</v>
      </c>
      <c r="AA32" s="63">
        <v>0</v>
      </c>
      <c r="AB32" s="63">
        <v>163.101</v>
      </c>
      <c r="AC32" s="63">
        <v>0</v>
      </c>
      <c r="AD32" s="63">
        <v>0</v>
      </c>
      <c r="AE32" s="63">
        <v>0</v>
      </c>
      <c r="AF32" s="63">
        <v>0</v>
      </c>
      <c r="AG32" s="63">
        <v>0</v>
      </c>
      <c r="AH32" s="60"/>
      <c r="AI32" s="23"/>
    </row>
    <row r="33" spans="1:35" s="22" customFormat="1" ht="37.5" customHeight="1" x14ac:dyDescent="0.25">
      <c r="A33" s="375"/>
      <c r="B33" s="378"/>
      <c r="C33" s="126" t="s">
        <v>21</v>
      </c>
      <c r="D33" s="74">
        <f>SUM(J33,L33,N33,P33,R33,T33,V33,X33,Z33,AB33,AD33,AF33)</f>
        <v>347.39800000000002</v>
      </c>
      <c r="E33" s="62">
        <f>J33</f>
        <v>0</v>
      </c>
      <c r="F33" s="62">
        <v>29.739000000000001</v>
      </c>
      <c r="G33" s="62">
        <f>SUM(K33,M33,O33,Q33,S33,U33,W33,Y33,AA33,AC33,AE33,AG33)</f>
        <v>0</v>
      </c>
      <c r="H33" s="62">
        <f t="shared" si="13"/>
        <v>0</v>
      </c>
      <c r="I33" s="62">
        <f t="shared" si="14"/>
        <v>0</v>
      </c>
      <c r="J33" s="67">
        <v>0</v>
      </c>
      <c r="K33" s="67">
        <v>0</v>
      </c>
      <c r="L33" s="67">
        <v>0</v>
      </c>
      <c r="M33" s="67">
        <v>0</v>
      </c>
      <c r="N33" s="67">
        <v>29.739000000000001</v>
      </c>
      <c r="O33" s="67">
        <v>0</v>
      </c>
      <c r="P33" s="67">
        <v>31</v>
      </c>
      <c r="Q33" s="67">
        <v>0</v>
      </c>
      <c r="R33" s="67">
        <v>281.14</v>
      </c>
      <c r="S33" s="67">
        <v>0</v>
      </c>
      <c r="T33" s="67">
        <v>0</v>
      </c>
      <c r="U33" s="67">
        <v>0</v>
      </c>
      <c r="V33" s="67">
        <v>0</v>
      </c>
      <c r="W33" s="67">
        <v>0</v>
      </c>
      <c r="X33" s="67">
        <v>0</v>
      </c>
      <c r="Y33" s="67">
        <v>0</v>
      </c>
      <c r="Z33" s="67">
        <v>0</v>
      </c>
      <c r="AA33" s="67">
        <v>0</v>
      </c>
      <c r="AB33" s="67">
        <v>5.4560000000000004</v>
      </c>
      <c r="AC33" s="67">
        <v>0</v>
      </c>
      <c r="AD33" s="67">
        <v>0</v>
      </c>
      <c r="AE33" s="67">
        <v>0</v>
      </c>
      <c r="AF33" s="67">
        <v>6.3E-2</v>
      </c>
      <c r="AG33" s="67">
        <v>0</v>
      </c>
      <c r="AH33" s="64"/>
      <c r="AI33" s="20"/>
    </row>
    <row r="34" spans="1:35" s="22" customFormat="1" ht="28.5" customHeight="1" x14ac:dyDescent="0.25">
      <c r="A34" s="379" t="s">
        <v>37</v>
      </c>
      <c r="B34" s="361" t="s">
        <v>121</v>
      </c>
      <c r="C34" s="125" t="s">
        <v>20</v>
      </c>
      <c r="D34" s="70">
        <f>D36+D35</f>
        <v>552075.30100000009</v>
      </c>
      <c r="E34" s="58">
        <f t="shared" ref="E34:G34" si="25">E36+E35</f>
        <v>34614.751000000004</v>
      </c>
      <c r="F34" s="58">
        <f t="shared" si="25"/>
        <v>50289.625999999997</v>
      </c>
      <c r="G34" s="58">
        <f t="shared" si="25"/>
        <v>50289.625999999997</v>
      </c>
      <c r="H34" s="58">
        <f t="shared" si="13"/>
        <v>9.1091968629837297</v>
      </c>
      <c r="I34" s="58">
        <f t="shared" si="14"/>
        <v>145.28380111704396</v>
      </c>
      <c r="J34" s="59">
        <f>J36+J35</f>
        <v>34614.751000000004</v>
      </c>
      <c r="K34" s="59">
        <f t="shared" ref="K34:AG34" si="26">K36+K35</f>
        <v>20016.370999999996</v>
      </c>
      <c r="L34" s="59">
        <f t="shared" si="26"/>
        <v>37216.591</v>
      </c>
      <c r="M34" s="59">
        <f t="shared" si="26"/>
        <v>30273.255000000001</v>
      </c>
      <c r="N34" s="59">
        <f t="shared" si="26"/>
        <v>158009.59099999999</v>
      </c>
      <c r="O34" s="59">
        <f t="shared" si="26"/>
        <v>0</v>
      </c>
      <c r="P34" s="59">
        <f t="shared" si="26"/>
        <v>53225.271000000008</v>
      </c>
      <c r="Q34" s="59">
        <f t="shared" si="26"/>
        <v>0</v>
      </c>
      <c r="R34" s="59">
        <f t="shared" si="26"/>
        <v>34940.572</v>
      </c>
      <c r="S34" s="59">
        <f t="shared" si="26"/>
        <v>0</v>
      </c>
      <c r="T34" s="59">
        <f t="shared" si="26"/>
        <v>38635.247000000003</v>
      </c>
      <c r="U34" s="59">
        <f t="shared" si="26"/>
        <v>0</v>
      </c>
      <c r="V34" s="59">
        <f t="shared" si="26"/>
        <v>34480.620999999999</v>
      </c>
      <c r="W34" s="59">
        <f t="shared" si="26"/>
        <v>0</v>
      </c>
      <c r="X34" s="59">
        <f t="shared" si="26"/>
        <v>45175.097000000002</v>
      </c>
      <c r="Y34" s="59">
        <f t="shared" si="26"/>
        <v>0</v>
      </c>
      <c r="Z34" s="59">
        <f t="shared" si="26"/>
        <v>34017.055999999997</v>
      </c>
      <c r="AA34" s="59">
        <f t="shared" si="26"/>
        <v>0</v>
      </c>
      <c r="AB34" s="59">
        <f t="shared" si="26"/>
        <v>27019.233</v>
      </c>
      <c r="AC34" s="59">
        <f t="shared" si="26"/>
        <v>0</v>
      </c>
      <c r="AD34" s="59">
        <f t="shared" si="26"/>
        <v>22208.639999999999</v>
      </c>
      <c r="AE34" s="59">
        <f t="shared" si="26"/>
        <v>0</v>
      </c>
      <c r="AF34" s="59">
        <f t="shared" si="26"/>
        <v>32532.631000000001</v>
      </c>
      <c r="AG34" s="59">
        <f t="shared" si="26"/>
        <v>0</v>
      </c>
      <c r="AH34" s="60"/>
      <c r="AI34" s="20"/>
    </row>
    <row r="35" spans="1:35" s="26" customFormat="1" ht="55.5" customHeight="1" x14ac:dyDescent="0.25">
      <c r="A35" s="380"/>
      <c r="B35" s="362"/>
      <c r="C35" s="124" t="s">
        <v>21</v>
      </c>
      <c r="D35" s="74">
        <f>SUM(J35,L35,N35,P35,R35,T35,V35,X35,Z35,AB35,AD35,AF35)</f>
        <v>527028.9040000001</v>
      </c>
      <c r="E35" s="74">
        <f>J35</f>
        <v>31904.598000000002</v>
      </c>
      <c r="F35" s="74">
        <f>G35</f>
        <v>48374.182999999997</v>
      </c>
      <c r="G35" s="74">
        <f>SUM(K35,M35,O35,Q35,S35,U35,W35,Y35,AA35,AC35,AE35,AG35)</f>
        <v>48374.182999999997</v>
      </c>
      <c r="H35" s="74">
        <f>IFERROR(G35/D35*100,0)</f>
        <v>9.1786584441296579</v>
      </c>
      <c r="I35" s="74">
        <f>IFERROR(G35/E35*100,0)</f>
        <v>151.62135250850048</v>
      </c>
      <c r="J35" s="67">
        <f t="shared" ref="J35:AG35" si="27">J38+J69+J76</f>
        <v>31904.598000000002</v>
      </c>
      <c r="K35" s="67">
        <f t="shared" si="27"/>
        <v>19293.159999999996</v>
      </c>
      <c r="L35" s="67">
        <f t="shared" si="27"/>
        <v>35158.641000000003</v>
      </c>
      <c r="M35" s="67">
        <f t="shared" si="27"/>
        <v>29081.023000000001</v>
      </c>
      <c r="N35" s="67">
        <f t="shared" si="27"/>
        <v>155475.981</v>
      </c>
      <c r="O35" s="67">
        <v>0</v>
      </c>
      <c r="P35" s="67">
        <f t="shared" si="27"/>
        <v>49600.522000000004</v>
      </c>
      <c r="Q35" s="67">
        <f t="shared" si="27"/>
        <v>0</v>
      </c>
      <c r="R35" s="67">
        <f t="shared" si="27"/>
        <v>33255.909</v>
      </c>
      <c r="S35" s="67">
        <f t="shared" si="27"/>
        <v>0</v>
      </c>
      <c r="T35" s="67">
        <f t="shared" si="27"/>
        <v>37141.675000000003</v>
      </c>
      <c r="U35" s="67">
        <f t="shared" si="27"/>
        <v>0</v>
      </c>
      <c r="V35" s="67">
        <f t="shared" si="27"/>
        <v>32710.205000000002</v>
      </c>
      <c r="W35" s="67">
        <f t="shared" si="27"/>
        <v>0</v>
      </c>
      <c r="X35" s="67">
        <f t="shared" si="27"/>
        <v>43713.601999999999</v>
      </c>
      <c r="Y35" s="67">
        <f t="shared" si="27"/>
        <v>0</v>
      </c>
      <c r="Z35" s="67">
        <f t="shared" si="27"/>
        <v>32449.912</v>
      </c>
      <c r="AA35" s="67">
        <f t="shared" si="27"/>
        <v>0</v>
      </c>
      <c r="AB35" s="67">
        <f t="shared" si="27"/>
        <v>24887.055</v>
      </c>
      <c r="AC35" s="67">
        <f t="shared" si="27"/>
        <v>0</v>
      </c>
      <c r="AD35" s="67">
        <f t="shared" si="27"/>
        <v>20156.7</v>
      </c>
      <c r="AE35" s="67">
        <f t="shared" si="27"/>
        <v>0</v>
      </c>
      <c r="AF35" s="67">
        <f t="shared" si="27"/>
        <v>30574.104000000003</v>
      </c>
      <c r="AG35" s="67">
        <f t="shared" si="27"/>
        <v>0</v>
      </c>
      <c r="AH35" s="72"/>
      <c r="AI35" s="24"/>
    </row>
    <row r="36" spans="1:35" s="26" customFormat="1" ht="37.5" customHeight="1" x14ac:dyDescent="0.25">
      <c r="A36" s="374"/>
      <c r="B36" s="362"/>
      <c r="C36" s="124" t="s">
        <v>114</v>
      </c>
      <c r="D36" s="74">
        <f>SUM(J36,L36,N36,P36,R36,T36,V36,X36,Z36,AB36,AD36,AF36)</f>
        <v>25046.396999999997</v>
      </c>
      <c r="E36" s="74">
        <f>J36</f>
        <v>2710.1529999999998</v>
      </c>
      <c r="F36" s="74">
        <f>G36</f>
        <v>1915.443</v>
      </c>
      <c r="G36" s="74">
        <f>SUM(K36,M36,O36,Q36,S36,U36,W36,Y36,AA36,AC36,AE36,AG36)</f>
        <v>1915.443</v>
      </c>
      <c r="H36" s="74">
        <f>IFERROR(G36/D36*100,0)</f>
        <v>7.6475790110649449</v>
      </c>
      <c r="I36" s="74">
        <f>IFERROR(G36/E36*100,0)</f>
        <v>70.676563278899764</v>
      </c>
      <c r="J36" s="67">
        <f>J39</f>
        <v>2710.1529999999998</v>
      </c>
      <c r="K36" s="67">
        <f t="shared" ref="K36:AG36" si="28">K39</f>
        <v>723.21100000000001</v>
      </c>
      <c r="L36" s="67">
        <f t="shared" si="28"/>
        <v>2057.9499999999998</v>
      </c>
      <c r="M36" s="67">
        <f t="shared" si="28"/>
        <v>1192.232</v>
      </c>
      <c r="N36" s="67">
        <f t="shared" si="28"/>
        <v>2533.61</v>
      </c>
      <c r="O36" s="67">
        <v>0</v>
      </c>
      <c r="P36" s="67">
        <f t="shared" si="28"/>
        <v>3624.7489999999998</v>
      </c>
      <c r="Q36" s="67">
        <f t="shared" si="28"/>
        <v>0</v>
      </c>
      <c r="R36" s="67">
        <f t="shared" si="28"/>
        <v>1684.663</v>
      </c>
      <c r="S36" s="67">
        <f t="shared" si="28"/>
        <v>0</v>
      </c>
      <c r="T36" s="67">
        <f t="shared" si="28"/>
        <v>1493.5719999999999</v>
      </c>
      <c r="U36" s="67">
        <f t="shared" si="28"/>
        <v>0</v>
      </c>
      <c r="V36" s="67">
        <f t="shared" si="28"/>
        <v>1770.4159999999999</v>
      </c>
      <c r="W36" s="67">
        <f t="shared" si="28"/>
        <v>0</v>
      </c>
      <c r="X36" s="67">
        <f t="shared" si="28"/>
        <v>1461.4949999999999</v>
      </c>
      <c r="Y36" s="67">
        <f t="shared" si="28"/>
        <v>0</v>
      </c>
      <c r="Z36" s="67">
        <f t="shared" si="28"/>
        <v>1567.144</v>
      </c>
      <c r="AA36" s="67">
        <f t="shared" si="28"/>
        <v>0</v>
      </c>
      <c r="AB36" s="67">
        <f t="shared" si="28"/>
        <v>2132.1779999999999</v>
      </c>
      <c r="AC36" s="67">
        <f t="shared" si="28"/>
        <v>0</v>
      </c>
      <c r="AD36" s="67">
        <f t="shared" si="28"/>
        <v>2051.94</v>
      </c>
      <c r="AE36" s="67">
        <f t="shared" si="28"/>
        <v>0</v>
      </c>
      <c r="AF36" s="67">
        <f t="shared" si="28"/>
        <v>1958.5269999999998</v>
      </c>
      <c r="AG36" s="67">
        <f t="shared" si="28"/>
        <v>0</v>
      </c>
      <c r="AH36" s="72"/>
      <c r="AI36" s="24"/>
    </row>
    <row r="37" spans="1:35" s="22" customFormat="1" ht="30.75" customHeight="1" x14ac:dyDescent="0.25">
      <c r="A37" s="379"/>
      <c r="B37" s="389" t="s">
        <v>122</v>
      </c>
      <c r="C37" s="125" t="s">
        <v>20</v>
      </c>
      <c r="D37" s="70">
        <f>D39+D38</f>
        <v>525142.10100000002</v>
      </c>
      <c r="E37" s="58">
        <f t="shared" ref="E37:G37" si="29">E39+E38</f>
        <v>22309.550999999999</v>
      </c>
      <c r="F37" s="58">
        <f t="shared" si="29"/>
        <v>37709.938999999998</v>
      </c>
      <c r="G37" s="58">
        <f t="shared" si="29"/>
        <v>37709.938999999998</v>
      </c>
      <c r="H37" s="58">
        <f t="shared" ref="H37" si="30">IFERROR(G37/D37*100,0)</f>
        <v>7.1809018793562691</v>
      </c>
      <c r="I37" s="58">
        <f t="shared" ref="I37" si="31">IFERROR(G37/E37*100,0)</f>
        <v>169.03047040256436</v>
      </c>
      <c r="J37" s="59">
        <f>J39+J38</f>
        <v>22309.550999999999</v>
      </c>
      <c r="K37" s="59">
        <f t="shared" ref="K37:AG37" si="32">K39+K38</f>
        <v>9909.5429999999978</v>
      </c>
      <c r="L37" s="59">
        <f t="shared" si="32"/>
        <v>34023.966</v>
      </c>
      <c r="M37" s="59">
        <f t="shared" si="32"/>
        <v>27800.396000000001</v>
      </c>
      <c r="N37" s="59">
        <f t="shared" si="32"/>
        <v>156588.78099999999</v>
      </c>
      <c r="O37" s="59">
        <f t="shared" si="32"/>
        <v>0</v>
      </c>
      <c r="P37" s="59">
        <f t="shared" si="32"/>
        <v>45509.331000000006</v>
      </c>
      <c r="Q37" s="59">
        <f t="shared" si="32"/>
        <v>0</v>
      </c>
      <c r="R37" s="59">
        <f t="shared" si="32"/>
        <v>33520.572</v>
      </c>
      <c r="S37" s="59">
        <f t="shared" si="32"/>
        <v>0</v>
      </c>
      <c r="T37" s="59">
        <f t="shared" si="32"/>
        <v>38635.247000000003</v>
      </c>
      <c r="U37" s="59">
        <f t="shared" si="32"/>
        <v>0</v>
      </c>
      <c r="V37" s="59">
        <f t="shared" si="32"/>
        <v>34480.620999999999</v>
      </c>
      <c r="W37" s="59">
        <f t="shared" si="32"/>
        <v>0</v>
      </c>
      <c r="X37" s="59">
        <f t="shared" si="32"/>
        <v>44600.697</v>
      </c>
      <c r="Y37" s="59">
        <f t="shared" si="32"/>
        <v>0</v>
      </c>
      <c r="Z37" s="59">
        <f t="shared" si="32"/>
        <v>33989.530999999995</v>
      </c>
      <c r="AA37" s="59">
        <f t="shared" si="32"/>
        <v>0</v>
      </c>
      <c r="AB37" s="59">
        <f t="shared" si="32"/>
        <v>26871.233</v>
      </c>
      <c r="AC37" s="59">
        <f t="shared" si="32"/>
        <v>0</v>
      </c>
      <c r="AD37" s="59">
        <f t="shared" si="32"/>
        <v>22208.639999999999</v>
      </c>
      <c r="AE37" s="59">
        <f t="shared" si="32"/>
        <v>0</v>
      </c>
      <c r="AF37" s="59">
        <f t="shared" si="32"/>
        <v>32403.931</v>
      </c>
      <c r="AG37" s="59">
        <f t="shared" si="32"/>
        <v>0</v>
      </c>
      <c r="AH37" s="60"/>
      <c r="AI37" s="20"/>
    </row>
    <row r="38" spans="1:35" s="22" customFormat="1" ht="54" customHeight="1" x14ac:dyDescent="0.25">
      <c r="A38" s="380"/>
      <c r="B38" s="390"/>
      <c r="C38" s="126" t="s">
        <v>21</v>
      </c>
      <c r="D38" s="74">
        <f>SUM(J38,L38,N38,P38,R38,T38,V38,X38,Z38,AB38,AD38,AF38)</f>
        <v>500095.70399999997</v>
      </c>
      <c r="E38" s="62">
        <f>J38</f>
        <v>19599.398000000001</v>
      </c>
      <c r="F38" s="62">
        <f>G38</f>
        <v>35794.495999999999</v>
      </c>
      <c r="G38" s="62">
        <f>SUM(K38,M38,O38,Q38,S38,U38,W38,Y38,AA38,AC38,AE38,AG38)</f>
        <v>35794.495999999999</v>
      </c>
      <c r="H38" s="62">
        <f>IFERROR(G38/D38*100,0)</f>
        <v>7.1575291916524844</v>
      </c>
      <c r="I38" s="62">
        <f>IFERROR(G38/E38*100,0)</f>
        <v>182.6305889599262</v>
      </c>
      <c r="J38" s="63">
        <f t="shared" ref="J38:AG38" si="33">J41+J44+J46+J48+J51+J53+J55+J57+J59+J62+J64+J66</f>
        <v>19599.398000000001</v>
      </c>
      <c r="K38" s="63">
        <f t="shared" si="33"/>
        <v>9186.3319999999985</v>
      </c>
      <c r="L38" s="63">
        <f t="shared" si="33"/>
        <v>31966.016</v>
      </c>
      <c r="M38" s="63">
        <f t="shared" si="33"/>
        <v>26608.164000000001</v>
      </c>
      <c r="N38" s="63">
        <f t="shared" si="33"/>
        <v>154055.171</v>
      </c>
      <c r="O38" s="63">
        <v>0</v>
      </c>
      <c r="P38" s="63">
        <f t="shared" si="33"/>
        <v>41884.582000000002</v>
      </c>
      <c r="Q38" s="63">
        <f t="shared" si="33"/>
        <v>0</v>
      </c>
      <c r="R38" s="63">
        <f t="shared" si="33"/>
        <v>31835.909</v>
      </c>
      <c r="S38" s="63">
        <f t="shared" si="33"/>
        <v>0</v>
      </c>
      <c r="T38" s="63">
        <f t="shared" si="33"/>
        <v>37141.675000000003</v>
      </c>
      <c r="U38" s="63">
        <f t="shared" si="33"/>
        <v>0</v>
      </c>
      <c r="V38" s="63">
        <f t="shared" si="33"/>
        <v>32710.205000000002</v>
      </c>
      <c r="W38" s="63">
        <f t="shared" si="33"/>
        <v>0</v>
      </c>
      <c r="X38" s="63">
        <f t="shared" si="33"/>
        <v>43139.201999999997</v>
      </c>
      <c r="Y38" s="63">
        <f t="shared" si="33"/>
        <v>0</v>
      </c>
      <c r="Z38" s="63">
        <f t="shared" si="33"/>
        <v>32422.386999999999</v>
      </c>
      <c r="AA38" s="63">
        <f t="shared" si="33"/>
        <v>0</v>
      </c>
      <c r="AB38" s="63">
        <f t="shared" si="33"/>
        <v>24739.055</v>
      </c>
      <c r="AC38" s="63">
        <f t="shared" si="33"/>
        <v>0</v>
      </c>
      <c r="AD38" s="63">
        <f t="shared" si="33"/>
        <v>20156.7</v>
      </c>
      <c r="AE38" s="63">
        <f t="shared" si="33"/>
        <v>0</v>
      </c>
      <c r="AF38" s="63">
        <f t="shared" si="33"/>
        <v>30445.404000000002</v>
      </c>
      <c r="AG38" s="63">
        <f t="shared" si="33"/>
        <v>0</v>
      </c>
      <c r="AH38" s="60"/>
      <c r="AI38" s="20"/>
    </row>
    <row r="39" spans="1:35" s="22" customFormat="1" ht="46.5" customHeight="1" x14ac:dyDescent="0.25">
      <c r="A39" s="374"/>
      <c r="B39" s="390"/>
      <c r="C39" s="126" t="s">
        <v>114</v>
      </c>
      <c r="D39" s="74">
        <f>SUM(J39,L39,N39,P39,R39,T39,V39,X39,Z39,AB39,AD39,AF39)</f>
        <v>25046.396999999997</v>
      </c>
      <c r="E39" s="62">
        <f>J39</f>
        <v>2710.1529999999998</v>
      </c>
      <c r="F39" s="62">
        <f>G39</f>
        <v>1915.443</v>
      </c>
      <c r="G39" s="62">
        <f>SUM(K39,M39,O39,Q39,S39,U39,W39,Y39,AA39,AC39,AE39,AG39)</f>
        <v>1915.443</v>
      </c>
      <c r="H39" s="62">
        <f>IFERROR(G39/D39*100,0)</f>
        <v>7.6475790110649449</v>
      </c>
      <c r="I39" s="62">
        <f>IFERROR(G39/E39*100,0)</f>
        <v>70.676563278899764</v>
      </c>
      <c r="J39" s="63">
        <f>J42+J49+J60</f>
        <v>2710.1529999999998</v>
      </c>
      <c r="K39" s="63">
        <f t="shared" ref="K39:AG39" si="34">K42+K49+K60</f>
        <v>723.21100000000001</v>
      </c>
      <c r="L39" s="63">
        <f t="shared" si="34"/>
        <v>2057.9499999999998</v>
      </c>
      <c r="M39" s="63">
        <f t="shared" si="34"/>
        <v>1192.232</v>
      </c>
      <c r="N39" s="63">
        <f t="shared" si="34"/>
        <v>2533.61</v>
      </c>
      <c r="O39" s="63">
        <v>0</v>
      </c>
      <c r="P39" s="63">
        <f t="shared" si="34"/>
        <v>3624.7489999999998</v>
      </c>
      <c r="Q39" s="63">
        <f t="shared" si="34"/>
        <v>0</v>
      </c>
      <c r="R39" s="63">
        <f t="shared" si="34"/>
        <v>1684.663</v>
      </c>
      <c r="S39" s="63">
        <f t="shared" si="34"/>
        <v>0</v>
      </c>
      <c r="T39" s="63">
        <f t="shared" si="34"/>
        <v>1493.5719999999999</v>
      </c>
      <c r="U39" s="63">
        <f t="shared" si="34"/>
        <v>0</v>
      </c>
      <c r="V39" s="63">
        <f t="shared" si="34"/>
        <v>1770.4159999999999</v>
      </c>
      <c r="W39" s="63">
        <f t="shared" si="34"/>
        <v>0</v>
      </c>
      <c r="X39" s="63">
        <f t="shared" si="34"/>
        <v>1461.4949999999999</v>
      </c>
      <c r="Y39" s="63">
        <f t="shared" si="34"/>
        <v>0</v>
      </c>
      <c r="Z39" s="63">
        <f t="shared" si="34"/>
        <v>1567.144</v>
      </c>
      <c r="AA39" s="63">
        <f t="shared" si="34"/>
        <v>0</v>
      </c>
      <c r="AB39" s="63">
        <f t="shared" si="34"/>
        <v>2132.1779999999999</v>
      </c>
      <c r="AC39" s="63">
        <f t="shared" si="34"/>
        <v>0</v>
      </c>
      <c r="AD39" s="63">
        <f t="shared" si="34"/>
        <v>2051.94</v>
      </c>
      <c r="AE39" s="63">
        <f t="shared" si="34"/>
        <v>0</v>
      </c>
      <c r="AF39" s="63">
        <f t="shared" si="34"/>
        <v>1958.5269999999998</v>
      </c>
      <c r="AG39" s="63">
        <f t="shared" si="34"/>
        <v>0</v>
      </c>
      <c r="AH39" s="60"/>
      <c r="AI39" s="20"/>
    </row>
    <row r="40" spans="1:35" s="22" customFormat="1" ht="86.25" customHeight="1" x14ac:dyDescent="0.25">
      <c r="A40" s="392"/>
      <c r="B40" s="395" t="s">
        <v>123</v>
      </c>
      <c r="C40" s="126" t="s">
        <v>20</v>
      </c>
      <c r="D40" s="74">
        <f>D42+D41</f>
        <v>75870.5</v>
      </c>
      <c r="E40" s="62">
        <f t="shared" ref="E40:G40" si="35">E42+E41</f>
        <v>15000.960000000001</v>
      </c>
      <c r="F40" s="62">
        <f t="shared" si="35"/>
        <v>7641.87</v>
      </c>
      <c r="G40" s="62">
        <f t="shared" si="35"/>
        <v>7641.87</v>
      </c>
      <c r="H40" s="62">
        <f t="shared" ref="H40" si="36">IFERROR(G40/D40*100,0)</f>
        <v>10.072254697148431</v>
      </c>
      <c r="I40" s="62">
        <f t="shared" ref="I40" si="37">IFERROR(G40/E40*100,0)</f>
        <v>50.942539677460644</v>
      </c>
      <c r="J40" s="63">
        <f>J42+J41</f>
        <v>2603.6200000000003</v>
      </c>
      <c r="K40" s="63">
        <f t="shared" ref="K40:AG40" si="38">K42+K41</f>
        <v>1503.18</v>
      </c>
      <c r="L40" s="63">
        <f t="shared" si="38"/>
        <v>6359.4</v>
      </c>
      <c r="M40" s="63">
        <f t="shared" si="38"/>
        <v>6138.69</v>
      </c>
      <c r="N40" s="63">
        <f t="shared" si="38"/>
        <v>6037.94</v>
      </c>
      <c r="O40" s="63">
        <f t="shared" si="38"/>
        <v>0</v>
      </c>
      <c r="P40" s="63">
        <f t="shared" si="38"/>
        <v>6066.66</v>
      </c>
      <c r="Q40" s="63">
        <f t="shared" si="38"/>
        <v>0</v>
      </c>
      <c r="R40" s="63">
        <f t="shared" si="38"/>
        <v>8134.85</v>
      </c>
      <c r="S40" s="63">
        <f t="shared" si="38"/>
        <v>0</v>
      </c>
      <c r="T40" s="63">
        <f t="shared" si="38"/>
        <v>7264.5</v>
      </c>
      <c r="U40" s="63">
        <f t="shared" si="38"/>
        <v>0</v>
      </c>
      <c r="V40" s="63">
        <f t="shared" si="38"/>
        <v>7207.5</v>
      </c>
      <c r="W40" s="63">
        <f t="shared" si="38"/>
        <v>0</v>
      </c>
      <c r="X40" s="63">
        <f t="shared" si="38"/>
        <v>6665</v>
      </c>
      <c r="Y40" s="63">
        <f t="shared" si="38"/>
        <v>0</v>
      </c>
      <c r="Z40" s="63">
        <f t="shared" si="38"/>
        <v>6041.02</v>
      </c>
      <c r="AA40" s="63">
        <f t="shared" si="38"/>
        <v>0</v>
      </c>
      <c r="AB40" s="63">
        <f t="shared" si="38"/>
        <v>5257.22</v>
      </c>
      <c r="AC40" s="63">
        <f t="shared" si="38"/>
        <v>0</v>
      </c>
      <c r="AD40" s="63">
        <f t="shared" si="38"/>
        <v>5191.72</v>
      </c>
      <c r="AE40" s="63">
        <f t="shared" si="38"/>
        <v>0</v>
      </c>
      <c r="AF40" s="63">
        <f t="shared" si="38"/>
        <v>9041.07</v>
      </c>
      <c r="AG40" s="63">
        <f t="shared" si="38"/>
        <v>0</v>
      </c>
      <c r="AH40" s="323"/>
      <c r="AI40" s="20"/>
    </row>
    <row r="41" spans="1:35" s="22" customFormat="1" ht="33.75" customHeight="1" x14ac:dyDescent="0.25">
      <c r="A41" s="393"/>
      <c r="B41" s="396"/>
      <c r="C41" s="126" t="s">
        <v>21</v>
      </c>
      <c r="D41" s="74">
        <f>SUM(J41,L41,N41,P41,R41,T41,V41,X41,Z41,AB41,AD41,AF41)</f>
        <v>75816.5</v>
      </c>
      <c r="E41" s="62">
        <f>J41+L41+N41</f>
        <v>14972.400000000001</v>
      </c>
      <c r="F41" s="62">
        <f>G41</f>
        <v>7639.91</v>
      </c>
      <c r="G41" s="62">
        <f>SUM(K41,M41,O41,Q41,S41,U41,W41,Y41,AA41,AC41,AE41,AG41)</f>
        <v>7639.91</v>
      </c>
      <c r="H41" s="62">
        <f>IFERROR(G41/D41*100,0)</f>
        <v>10.076843431179229</v>
      </c>
      <c r="I41" s="62">
        <f>IFERROR(G41/E41*100,0)</f>
        <v>51.026622318399184</v>
      </c>
      <c r="J41" s="63">
        <v>2602.3000000000002</v>
      </c>
      <c r="K41" s="63">
        <v>1502.18</v>
      </c>
      <c r="L41" s="63">
        <v>6342.9</v>
      </c>
      <c r="M41" s="63">
        <v>6137.73</v>
      </c>
      <c r="N41" s="63">
        <v>6027.2</v>
      </c>
      <c r="O41" s="63">
        <v>0</v>
      </c>
      <c r="P41" s="63">
        <v>6045</v>
      </c>
      <c r="Q41" s="63">
        <v>0</v>
      </c>
      <c r="R41" s="63">
        <v>8133.8</v>
      </c>
      <c r="S41" s="63">
        <v>0</v>
      </c>
      <c r="T41" s="63">
        <v>7264.5</v>
      </c>
      <c r="U41" s="63">
        <v>0</v>
      </c>
      <c r="V41" s="63">
        <v>7207.5</v>
      </c>
      <c r="W41" s="63">
        <v>0</v>
      </c>
      <c r="X41" s="63">
        <v>6665</v>
      </c>
      <c r="Y41" s="63">
        <v>0</v>
      </c>
      <c r="Z41" s="63">
        <v>6040.3</v>
      </c>
      <c r="AA41" s="63">
        <v>0</v>
      </c>
      <c r="AB41" s="63">
        <v>5256.5</v>
      </c>
      <c r="AC41" s="63">
        <v>0</v>
      </c>
      <c r="AD41" s="63">
        <v>5191</v>
      </c>
      <c r="AE41" s="63">
        <v>0</v>
      </c>
      <c r="AF41" s="63">
        <v>9040.5</v>
      </c>
      <c r="AG41" s="63">
        <v>0</v>
      </c>
      <c r="AH41" s="64"/>
      <c r="AI41" s="20"/>
    </row>
    <row r="42" spans="1:35" s="22" customFormat="1" ht="28.5" customHeight="1" x14ac:dyDescent="0.25">
      <c r="A42" s="394"/>
      <c r="B42" s="397"/>
      <c r="C42" s="126" t="s">
        <v>114</v>
      </c>
      <c r="D42" s="74">
        <f>SUM(J42,L42,N42,P42,R42,T42,V42,X42,Z42,AB42,AD42,AF42)</f>
        <v>53.999999999999993</v>
      </c>
      <c r="E42" s="62">
        <f>J42+L42+N42</f>
        <v>28.560000000000002</v>
      </c>
      <c r="F42" s="62">
        <f>G42</f>
        <v>1.96</v>
      </c>
      <c r="G42" s="62">
        <f>SUM(K42,M42,O42,Q42,S42,U42,W42,Y42,AA42,AC42,AE42,AG42)</f>
        <v>1.96</v>
      </c>
      <c r="H42" s="62">
        <f>IFERROR(G42/D42*100,0)</f>
        <v>3.6296296296296298</v>
      </c>
      <c r="I42" s="62">
        <f>IFERROR(G42/E42*100,0)</f>
        <v>6.8627450980392153</v>
      </c>
      <c r="J42" s="63">
        <v>1.32</v>
      </c>
      <c r="K42" s="63">
        <v>1</v>
      </c>
      <c r="L42" s="63">
        <v>16.5</v>
      </c>
      <c r="M42" s="63">
        <v>0.96</v>
      </c>
      <c r="N42" s="63">
        <v>10.74</v>
      </c>
      <c r="O42" s="63">
        <v>0</v>
      </c>
      <c r="P42" s="63">
        <v>21.66</v>
      </c>
      <c r="Q42" s="63">
        <v>0</v>
      </c>
      <c r="R42" s="63">
        <v>1.05</v>
      </c>
      <c r="S42" s="63">
        <v>0</v>
      </c>
      <c r="T42" s="63">
        <v>0</v>
      </c>
      <c r="U42" s="63">
        <v>0</v>
      </c>
      <c r="V42" s="63">
        <v>0</v>
      </c>
      <c r="W42" s="63">
        <v>0</v>
      </c>
      <c r="X42" s="63">
        <v>0</v>
      </c>
      <c r="Y42" s="63">
        <v>0</v>
      </c>
      <c r="Z42" s="63">
        <v>0.72</v>
      </c>
      <c r="AA42" s="63">
        <v>0</v>
      </c>
      <c r="AB42" s="63">
        <v>0.72</v>
      </c>
      <c r="AC42" s="63">
        <v>0</v>
      </c>
      <c r="AD42" s="63">
        <v>0.72</v>
      </c>
      <c r="AE42" s="63">
        <v>0</v>
      </c>
      <c r="AF42" s="63">
        <v>0.56999999999999995</v>
      </c>
      <c r="AG42" s="63">
        <v>0</v>
      </c>
      <c r="AH42" s="64"/>
      <c r="AI42" s="20"/>
    </row>
    <row r="43" spans="1:35" s="22" customFormat="1" ht="27" customHeight="1" x14ac:dyDescent="0.25">
      <c r="A43" s="117"/>
      <c r="B43" s="391" t="s">
        <v>124</v>
      </c>
      <c r="C43" s="126" t="s">
        <v>20</v>
      </c>
      <c r="D43" s="74">
        <f t="shared" ref="D43:E43" si="39">D44</f>
        <v>707.5</v>
      </c>
      <c r="E43" s="62">
        <f t="shared" si="39"/>
        <v>450</v>
      </c>
      <c r="F43" s="62">
        <f t="shared" ref="F43:F45" si="40">G43</f>
        <v>200</v>
      </c>
      <c r="G43" s="62">
        <f>G44</f>
        <v>200</v>
      </c>
      <c r="H43" s="62">
        <f t="shared" ref="H43:H47" si="41">IFERROR(G43/D43*100,0)</f>
        <v>28.268551236749119</v>
      </c>
      <c r="I43" s="62">
        <f t="shared" ref="I43:I47" si="42">IFERROR(G43/E43*100,0)</f>
        <v>44.444444444444443</v>
      </c>
      <c r="J43" s="62">
        <f t="shared" ref="J43:AG43" si="43">J44</f>
        <v>0</v>
      </c>
      <c r="K43" s="62">
        <f t="shared" si="43"/>
        <v>0</v>
      </c>
      <c r="L43" s="62">
        <f t="shared" si="43"/>
        <v>200</v>
      </c>
      <c r="M43" s="62">
        <f t="shared" si="43"/>
        <v>200</v>
      </c>
      <c r="N43" s="62">
        <f t="shared" si="43"/>
        <v>250</v>
      </c>
      <c r="O43" s="62">
        <f t="shared" si="43"/>
        <v>0</v>
      </c>
      <c r="P43" s="62">
        <f t="shared" si="43"/>
        <v>0</v>
      </c>
      <c r="Q43" s="62">
        <f t="shared" si="43"/>
        <v>0</v>
      </c>
      <c r="R43" s="62">
        <f t="shared" si="43"/>
        <v>0</v>
      </c>
      <c r="S43" s="62">
        <f t="shared" si="43"/>
        <v>0</v>
      </c>
      <c r="T43" s="62">
        <f t="shared" si="43"/>
        <v>257.5</v>
      </c>
      <c r="U43" s="62">
        <f t="shared" si="43"/>
        <v>0</v>
      </c>
      <c r="V43" s="62">
        <f t="shared" si="43"/>
        <v>0</v>
      </c>
      <c r="W43" s="62">
        <f t="shared" si="43"/>
        <v>0</v>
      </c>
      <c r="X43" s="62">
        <f t="shared" si="43"/>
        <v>0</v>
      </c>
      <c r="Y43" s="62">
        <f t="shared" si="43"/>
        <v>0</v>
      </c>
      <c r="Z43" s="62">
        <f t="shared" si="43"/>
        <v>0</v>
      </c>
      <c r="AA43" s="62">
        <f t="shared" si="43"/>
        <v>0</v>
      </c>
      <c r="AB43" s="62">
        <f t="shared" si="43"/>
        <v>0</v>
      </c>
      <c r="AC43" s="62">
        <f t="shared" si="43"/>
        <v>0</v>
      </c>
      <c r="AD43" s="62">
        <f t="shared" si="43"/>
        <v>0</v>
      </c>
      <c r="AE43" s="62">
        <f t="shared" si="43"/>
        <v>0</v>
      </c>
      <c r="AF43" s="62">
        <f t="shared" si="43"/>
        <v>0</v>
      </c>
      <c r="AG43" s="62">
        <f t="shared" si="43"/>
        <v>0</v>
      </c>
      <c r="AH43" s="64"/>
      <c r="AI43" s="20"/>
    </row>
    <row r="44" spans="1:35" s="22" customFormat="1" ht="33.75" customHeight="1" x14ac:dyDescent="0.25">
      <c r="A44" s="117"/>
      <c r="B44" s="391"/>
      <c r="C44" s="126" t="s">
        <v>21</v>
      </c>
      <c r="D44" s="74">
        <f t="shared" ref="D44" si="44">SUM(J44,L44,N44,P44,R44,T44,V44,X44,Z44,AB44,AD44,AF44)</f>
        <v>707.5</v>
      </c>
      <c r="E44" s="62">
        <f>J44+L44+N44</f>
        <v>450</v>
      </c>
      <c r="F44" s="62">
        <f t="shared" si="40"/>
        <v>200</v>
      </c>
      <c r="G44" s="62">
        <f t="shared" ref="G44" si="45">SUM(K44,M44,O44,Q44,S44,U44,W44,Y44,AA44,AC44,AE44,AG44)</f>
        <v>200</v>
      </c>
      <c r="H44" s="62">
        <f t="shared" si="41"/>
        <v>28.268551236749119</v>
      </c>
      <c r="I44" s="62">
        <f t="shared" si="42"/>
        <v>44.444444444444443</v>
      </c>
      <c r="J44" s="63">
        <v>0</v>
      </c>
      <c r="K44" s="63">
        <v>0</v>
      </c>
      <c r="L44" s="63">
        <v>200</v>
      </c>
      <c r="M44" s="63">
        <v>200</v>
      </c>
      <c r="N44" s="63">
        <v>250</v>
      </c>
      <c r="O44" s="63">
        <v>0</v>
      </c>
      <c r="P44" s="63">
        <v>0</v>
      </c>
      <c r="Q44" s="63">
        <v>0</v>
      </c>
      <c r="R44" s="63">
        <v>0</v>
      </c>
      <c r="S44" s="63">
        <v>0</v>
      </c>
      <c r="T44" s="63">
        <v>257.5</v>
      </c>
      <c r="U44" s="63">
        <v>0</v>
      </c>
      <c r="V44" s="63">
        <v>0</v>
      </c>
      <c r="W44" s="63">
        <v>0</v>
      </c>
      <c r="X44" s="63">
        <v>0</v>
      </c>
      <c r="Y44" s="63">
        <v>0</v>
      </c>
      <c r="Z44" s="63">
        <v>0</v>
      </c>
      <c r="AA44" s="63">
        <v>0</v>
      </c>
      <c r="AB44" s="63">
        <v>0</v>
      </c>
      <c r="AC44" s="63">
        <v>0</v>
      </c>
      <c r="AD44" s="63">
        <v>0</v>
      </c>
      <c r="AE44" s="63">
        <v>0</v>
      </c>
      <c r="AF44" s="63">
        <v>0</v>
      </c>
      <c r="AG44" s="63">
        <v>0</v>
      </c>
      <c r="AH44" s="64"/>
      <c r="AI44" s="20"/>
    </row>
    <row r="45" spans="1:35" s="22" customFormat="1" ht="51.75" customHeight="1" x14ac:dyDescent="0.25">
      <c r="A45" s="117"/>
      <c r="B45" s="391" t="s">
        <v>125</v>
      </c>
      <c r="C45" s="126" t="s">
        <v>20</v>
      </c>
      <c r="D45" s="74">
        <f t="shared" ref="D45:E45" si="46">D46</f>
        <v>144.60000000000002</v>
      </c>
      <c r="E45" s="62">
        <f t="shared" si="46"/>
        <v>144.60000000000002</v>
      </c>
      <c r="F45" s="62">
        <f t="shared" si="40"/>
        <v>0</v>
      </c>
      <c r="G45" s="62">
        <f>G46</f>
        <v>0</v>
      </c>
      <c r="H45" s="62">
        <f t="shared" si="41"/>
        <v>0</v>
      </c>
      <c r="I45" s="62">
        <f t="shared" si="42"/>
        <v>0</v>
      </c>
      <c r="J45" s="62">
        <f t="shared" ref="J45:AG45" si="47">J46</f>
        <v>0</v>
      </c>
      <c r="K45" s="62">
        <f t="shared" si="47"/>
        <v>0</v>
      </c>
      <c r="L45" s="62">
        <f t="shared" si="47"/>
        <v>44.45</v>
      </c>
      <c r="M45" s="62">
        <f t="shared" si="47"/>
        <v>0</v>
      </c>
      <c r="N45" s="62">
        <f t="shared" si="47"/>
        <v>100.15</v>
      </c>
      <c r="O45" s="62">
        <f>O46</f>
        <v>0</v>
      </c>
      <c r="P45" s="62">
        <f t="shared" si="47"/>
        <v>0</v>
      </c>
      <c r="Q45" s="62">
        <f t="shared" si="47"/>
        <v>0</v>
      </c>
      <c r="R45" s="62">
        <f t="shared" si="47"/>
        <v>0</v>
      </c>
      <c r="S45" s="62">
        <f t="shared" si="47"/>
        <v>0</v>
      </c>
      <c r="T45" s="62">
        <f t="shared" si="47"/>
        <v>0</v>
      </c>
      <c r="U45" s="62">
        <f t="shared" si="47"/>
        <v>0</v>
      </c>
      <c r="V45" s="62">
        <f t="shared" si="47"/>
        <v>0</v>
      </c>
      <c r="W45" s="62">
        <f t="shared" si="47"/>
        <v>0</v>
      </c>
      <c r="X45" s="62">
        <f t="shared" si="47"/>
        <v>0</v>
      </c>
      <c r="Y45" s="62">
        <f t="shared" si="47"/>
        <v>0</v>
      </c>
      <c r="Z45" s="62">
        <f t="shared" si="47"/>
        <v>0</v>
      </c>
      <c r="AA45" s="62">
        <f t="shared" si="47"/>
        <v>0</v>
      </c>
      <c r="AB45" s="62">
        <f t="shared" si="47"/>
        <v>0</v>
      </c>
      <c r="AC45" s="62">
        <f t="shared" si="47"/>
        <v>0</v>
      </c>
      <c r="AD45" s="62">
        <f t="shared" si="47"/>
        <v>0</v>
      </c>
      <c r="AE45" s="62">
        <f t="shared" si="47"/>
        <v>0</v>
      </c>
      <c r="AF45" s="62">
        <f t="shared" si="47"/>
        <v>0</v>
      </c>
      <c r="AG45" s="62">
        <f t="shared" si="47"/>
        <v>0</v>
      </c>
      <c r="AH45" s="322"/>
      <c r="AI45" s="20"/>
    </row>
    <row r="46" spans="1:35" s="22" customFormat="1" ht="37.5" customHeight="1" x14ac:dyDescent="0.25">
      <c r="A46" s="117"/>
      <c r="B46" s="391"/>
      <c r="C46" s="126" t="s">
        <v>21</v>
      </c>
      <c r="D46" s="74">
        <f t="shared" ref="D46" si="48">SUM(J46,L46,N46,P46,R46,T46,V46,X46,Z46,AB46,AD46,AF46)</f>
        <v>144.60000000000002</v>
      </c>
      <c r="E46" s="62">
        <f>J46+L46+N46</f>
        <v>144.60000000000002</v>
      </c>
      <c r="F46" s="62">
        <v>144.6</v>
      </c>
      <c r="G46" s="62">
        <f t="shared" ref="G46" si="49">SUM(K46,M46,O46,Q46,S46,U46,W46,Y46,AA46,AC46,AE46,AG46)</f>
        <v>0</v>
      </c>
      <c r="H46" s="62">
        <f t="shared" si="41"/>
        <v>0</v>
      </c>
      <c r="I46" s="62">
        <f t="shared" si="42"/>
        <v>0</v>
      </c>
      <c r="J46" s="63">
        <v>0</v>
      </c>
      <c r="K46" s="63">
        <v>0</v>
      </c>
      <c r="L46" s="63">
        <v>44.45</v>
      </c>
      <c r="M46" s="63">
        <v>0</v>
      </c>
      <c r="N46" s="63">
        <v>100.15</v>
      </c>
      <c r="O46" s="63">
        <v>0</v>
      </c>
      <c r="P46" s="63">
        <v>0</v>
      </c>
      <c r="Q46" s="63">
        <v>0</v>
      </c>
      <c r="R46" s="63">
        <v>0</v>
      </c>
      <c r="S46" s="63">
        <v>0</v>
      </c>
      <c r="T46" s="63">
        <v>0</v>
      </c>
      <c r="U46" s="63">
        <v>0</v>
      </c>
      <c r="V46" s="63">
        <v>0</v>
      </c>
      <c r="W46" s="63">
        <v>0</v>
      </c>
      <c r="X46" s="63">
        <v>0</v>
      </c>
      <c r="Y46" s="63">
        <v>0</v>
      </c>
      <c r="Z46" s="63">
        <v>0</v>
      </c>
      <c r="AA46" s="63">
        <v>0</v>
      </c>
      <c r="AB46" s="63">
        <v>0</v>
      </c>
      <c r="AC46" s="63">
        <v>0</v>
      </c>
      <c r="AD46" s="63">
        <v>0</v>
      </c>
      <c r="AE46" s="63">
        <v>0</v>
      </c>
      <c r="AF46" s="63">
        <v>0</v>
      </c>
      <c r="AG46" s="63">
        <v>0</v>
      </c>
      <c r="AH46" s="64"/>
      <c r="AI46" s="20"/>
    </row>
    <row r="47" spans="1:35" s="22" customFormat="1" ht="71.25" customHeight="1" x14ac:dyDescent="0.25">
      <c r="A47" s="392"/>
      <c r="B47" s="395" t="s">
        <v>126</v>
      </c>
      <c r="C47" s="126" t="s">
        <v>20</v>
      </c>
      <c r="D47" s="74">
        <f>D49+D48</f>
        <v>82290.599999999991</v>
      </c>
      <c r="E47" s="62">
        <f t="shared" ref="E47:G47" si="50">E49+E48</f>
        <v>23751.976999999999</v>
      </c>
      <c r="F47" s="62">
        <f t="shared" si="50"/>
        <v>8111.4649999999992</v>
      </c>
      <c r="G47" s="62">
        <f t="shared" si="50"/>
        <v>8111.4649999999992</v>
      </c>
      <c r="H47" s="62">
        <f t="shared" si="41"/>
        <v>9.8570978945347338</v>
      </c>
      <c r="I47" s="62">
        <f t="shared" si="42"/>
        <v>34.150694066434973</v>
      </c>
      <c r="J47" s="63">
        <f>J49+J48</f>
        <v>7550.9749999999995</v>
      </c>
      <c r="K47" s="63">
        <f t="shared" ref="K47:AG47" si="51">K49+K48</f>
        <v>2438.6909999999998</v>
      </c>
      <c r="L47" s="63">
        <f t="shared" si="51"/>
        <v>7779.5070000000005</v>
      </c>
      <c r="M47" s="63">
        <f t="shared" si="51"/>
        <v>5672.7740000000003</v>
      </c>
      <c r="N47" s="63">
        <f t="shared" si="51"/>
        <v>8421.494999999999</v>
      </c>
      <c r="O47" s="63">
        <f t="shared" si="51"/>
        <v>0</v>
      </c>
      <c r="P47" s="63">
        <f t="shared" si="51"/>
        <v>7138.4609999999993</v>
      </c>
      <c r="Q47" s="63">
        <f t="shared" si="51"/>
        <v>0</v>
      </c>
      <c r="R47" s="63">
        <f t="shared" si="51"/>
        <v>8100.7</v>
      </c>
      <c r="S47" s="63">
        <f t="shared" si="51"/>
        <v>0</v>
      </c>
      <c r="T47" s="63">
        <f t="shared" si="51"/>
        <v>7553.4000000000005</v>
      </c>
      <c r="U47" s="63">
        <f t="shared" si="51"/>
        <v>0</v>
      </c>
      <c r="V47" s="63">
        <f t="shared" si="51"/>
        <v>8051.1409999999996</v>
      </c>
      <c r="W47" s="63">
        <f t="shared" si="51"/>
        <v>0</v>
      </c>
      <c r="X47" s="63">
        <f t="shared" si="51"/>
        <v>7469.8</v>
      </c>
      <c r="Y47" s="63">
        <f t="shared" si="51"/>
        <v>0</v>
      </c>
      <c r="Z47" s="63">
        <f t="shared" si="51"/>
        <v>6918.9000000000005</v>
      </c>
      <c r="AA47" s="63">
        <f t="shared" si="51"/>
        <v>0</v>
      </c>
      <c r="AB47" s="63">
        <f t="shared" si="51"/>
        <v>5607.8769999999995</v>
      </c>
      <c r="AC47" s="63">
        <f t="shared" si="51"/>
        <v>0</v>
      </c>
      <c r="AD47" s="63">
        <f t="shared" si="51"/>
        <v>5615.05</v>
      </c>
      <c r="AE47" s="63">
        <f t="shared" si="51"/>
        <v>0</v>
      </c>
      <c r="AF47" s="63">
        <f t="shared" si="51"/>
        <v>2083.2939999999999</v>
      </c>
      <c r="AG47" s="63">
        <f t="shared" si="51"/>
        <v>0</v>
      </c>
      <c r="AH47" s="339"/>
      <c r="AI47" s="20"/>
    </row>
    <row r="48" spans="1:35" s="22" customFormat="1" ht="33.75" customHeight="1" x14ac:dyDescent="0.25">
      <c r="A48" s="393"/>
      <c r="B48" s="396"/>
      <c r="C48" s="126" t="s">
        <v>21</v>
      </c>
      <c r="D48" s="74">
        <f>SUM(J48,L48,N48,P48,R48,T48,V48,X48,Z48,AB48,AD48,AF48)</f>
        <v>78898.2</v>
      </c>
      <c r="E48" s="62">
        <f>J48+L48+N48</f>
        <v>22325.699999999997</v>
      </c>
      <c r="F48" s="62">
        <f>G48</f>
        <v>7889.6489999999994</v>
      </c>
      <c r="G48" s="62">
        <f>SUM(K48,M48,O48,Q48,S48,U48,W48,Y48,AA48,AC48,AE48,AG48)</f>
        <v>7889.6489999999994</v>
      </c>
      <c r="H48" s="62">
        <f>IFERROR(G48/D48*100,0)</f>
        <v>9.9997832650174523</v>
      </c>
      <c r="I48" s="62">
        <f>IFERROR(G48/E48*100,0)</f>
        <v>35.338865074779292</v>
      </c>
      <c r="J48" s="63">
        <v>7190.2</v>
      </c>
      <c r="K48" s="63">
        <v>2359.2869999999998</v>
      </c>
      <c r="L48" s="63">
        <v>7337.1</v>
      </c>
      <c r="M48" s="63">
        <v>5530.3620000000001</v>
      </c>
      <c r="N48" s="63">
        <v>7798.4</v>
      </c>
      <c r="O48" s="63">
        <v>0</v>
      </c>
      <c r="P48" s="63">
        <v>6590.2</v>
      </c>
      <c r="Q48" s="63">
        <v>0</v>
      </c>
      <c r="R48" s="63">
        <v>7965.4</v>
      </c>
      <c r="S48" s="63">
        <v>0</v>
      </c>
      <c r="T48" s="63">
        <v>7447.6</v>
      </c>
      <c r="U48" s="63">
        <v>0</v>
      </c>
      <c r="V48" s="63">
        <v>7855.9</v>
      </c>
      <c r="W48" s="63">
        <v>0</v>
      </c>
      <c r="X48" s="63">
        <v>7335.5</v>
      </c>
      <c r="Y48" s="63">
        <v>0</v>
      </c>
      <c r="Z48" s="63">
        <v>6814.1</v>
      </c>
      <c r="AA48" s="63">
        <v>0</v>
      </c>
      <c r="AB48" s="63">
        <v>5411.2359999999999</v>
      </c>
      <c r="AC48" s="63">
        <v>0</v>
      </c>
      <c r="AD48" s="63">
        <v>5306.3</v>
      </c>
      <c r="AE48" s="63">
        <v>0</v>
      </c>
      <c r="AF48" s="63">
        <v>1846.2639999999999</v>
      </c>
      <c r="AG48" s="63">
        <v>0</v>
      </c>
      <c r="AH48" s="64"/>
      <c r="AI48" s="20"/>
    </row>
    <row r="49" spans="1:35" s="22" customFormat="1" ht="28.5" customHeight="1" x14ac:dyDescent="0.25">
      <c r="A49" s="394"/>
      <c r="B49" s="397"/>
      <c r="C49" s="126" t="s">
        <v>114</v>
      </c>
      <c r="D49" s="74">
        <f>SUM(J49,L49,N49,P49,R49,T49,V49,X49,Z49,AB49,AD49,AF49)</f>
        <v>3392.400000000001</v>
      </c>
      <c r="E49" s="62">
        <f>J49+L49+N49</f>
        <v>1426.277</v>
      </c>
      <c r="F49" s="62">
        <f>G49</f>
        <v>221.816</v>
      </c>
      <c r="G49" s="62">
        <f>SUM(K49,M49,O49,Q49,S49,U49,W49,Y49,AA49,AC49,AE49,AG49)</f>
        <v>221.816</v>
      </c>
      <c r="H49" s="62">
        <f>IFERROR(G49/D49*100,0)</f>
        <v>6.5386157292772058</v>
      </c>
      <c r="I49" s="62">
        <f>IFERROR(G49/E49*100,0)</f>
        <v>15.552098224959106</v>
      </c>
      <c r="J49" s="63">
        <v>360.77499999999998</v>
      </c>
      <c r="K49" s="63">
        <v>79.403999999999996</v>
      </c>
      <c r="L49" s="63">
        <v>442.40699999999998</v>
      </c>
      <c r="M49" s="63">
        <v>142.41200000000001</v>
      </c>
      <c r="N49" s="63">
        <v>623.09500000000003</v>
      </c>
      <c r="O49" s="63">
        <v>0</v>
      </c>
      <c r="P49" s="63">
        <v>548.26099999999997</v>
      </c>
      <c r="Q49" s="63">
        <v>0</v>
      </c>
      <c r="R49" s="63">
        <v>135.30000000000001</v>
      </c>
      <c r="S49" s="63">
        <v>0</v>
      </c>
      <c r="T49" s="63">
        <v>105.8</v>
      </c>
      <c r="U49" s="63">
        <v>0</v>
      </c>
      <c r="V49" s="63">
        <v>195.24100000000001</v>
      </c>
      <c r="W49" s="63">
        <v>0</v>
      </c>
      <c r="X49" s="63">
        <v>134.30000000000001</v>
      </c>
      <c r="Y49" s="63">
        <v>0</v>
      </c>
      <c r="Z49" s="63">
        <v>104.8</v>
      </c>
      <c r="AA49" s="63">
        <v>0</v>
      </c>
      <c r="AB49" s="63">
        <v>196.64099999999999</v>
      </c>
      <c r="AC49" s="63">
        <v>0</v>
      </c>
      <c r="AD49" s="63">
        <v>308.75</v>
      </c>
      <c r="AE49" s="63">
        <v>0</v>
      </c>
      <c r="AF49" s="63">
        <v>237.03</v>
      </c>
      <c r="AG49" s="63">
        <v>0</v>
      </c>
      <c r="AH49" s="64"/>
      <c r="AI49" s="20"/>
    </row>
    <row r="50" spans="1:35" s="22" customFormat="1" ht="30.75" customHeight="1" x14ac:dyDescent="0.25">
      <c r="A50" s="117"/>
      <c r="B50" s="391" t="s">
        <v>127</v>
      </c>
      <c r="C50" s="126" t="s">
        <v>20</v>
      </c>
      <c r="D50" s="74">
        <f t="shared" ref="D50:E50" si="52">D51</f>
        <v>314.7</v>
      </c>
      <c r="E50" s="62">
        <f t="shared" si="52"/>
        <v>0</v>
      </c>
      <c r="F50" s="62">
        <f t="shared" ref="F50:F57" si="53">G50</f>
        <v>0</v>
      </c>
      <c r="G50" s="62">
        <f>G51</f>
        <v>0</v>
      </c>
      <c r="H50" s="62">
        <f t="shared" ref="H50:H58" si="54">IFERROR(G50/D50*100,0)</f>
        <v>0</v>
      </c>
      <c r="I50" s="62">
        <f t="shared" ref="I50:I58" si="55">IFERROR(G50/E50*100,0)</f>
        <v>0</v>
      </c>
      <c r="J50" s="62">
        <f t="shared" ref="J50:AG50" si="56">J51</f>
        <v>0</v>
      </c>
      <c r="K50" s="62">
        <f t="shared" si="56"/>
        <v>0</v>
      </c>
      <c r="L50" s="62">
        <f t="shared" si="56"/>
        <v>0</v>
      </c>
      <c r="M50" s="62">
        <f t="shared" si="56"/>
        <v>0</v>
      </c>
      <c r="N50" s="62">
        <f t="shared" si="56"/>
        <v>0</v>
      </c>
      <c r="O50" s="62">
        <f t="shared" si="56"/>
        <v>0</v>
      </c>
      <c r="P50" s="62">
        <f t="shared" si="56"/>
        <v>0</v>
      </c>
      <c r="Q50" s="62">
        <f t="shared" si="56"/>
        <v>0</v>
      </c>
      <c r="R50" s="62">
        <f t="shared" si="56"/>
        <v>0</v>
      </c>
      <c r="S50" s="62">
        <f t="shared" si="56"/>
        <v>0</v>
      </c>
      <c r="T50" s="62">
        <f t="shared" si="56"/>
        <v>0</v>
      </c>
      <c r="U50" s="62">
        <f t="shared" si="56"/>
        <v>0</v>
      </c>
      <c r="V50" s="62">
        <f t="shared" si="56"/>
        <v>0</v>
      </c>
      <c r="W50" s="62">
        <f t="shared" si="56"/>
        <v>0</v>
      </c>
      <c r="X50" s="62">
        <f t="shared" si="56"/>
        <v>314.7</v>
      </c>
      <c r="Y50" s="62">
        <f t="shared" si="56"/>
        <v>0</v>
      </c>
      <c r="Z50" s="62">
        <f t="shared" si="56"/>
        <v>0</v>
      </c>
      <c r="AA50" s="62">
        <f t="shared" si="56"/>
        <v>0</v>
      </c>
      <c r="AB50" s="62">
        <f t="shared" si="56"/>
        <v>0</v>
      </c>
      <c r="AC50" s="62">
        <f t="shared" si="56"/>
        <v>0</v>
      </c>
      <c r="AD50" s="62">
        <f t="shared" si="56"/>
        <v>0</v>
      </c>
      <c r="AE50" s="62">
        <f t="shared" si="56"/>
        <v>0</v>
      </c>
      <c r="AF50" s="62">
        <f t="shared" si="56"/>
        <v>0</v>
      </c>
      <c r="AG50" s="62">
        <f t="shared" si="56"/>
        <v>0</v>
      </c>
      <c r="AH50" s="64"/>
      <c r="AI50" s="20"/>
    </row>
    <row r="51" spans="1:35" s="22" customFormat="1" ht="37.5" customHeight="1" x14ac:dyDescent="0.25">
      <c r="A51" s="117"/>
      <c r="B51" s="391"/>
      <c r="C51" s="126" t="s">
        <v>21</v>
      </c>
      <c r="D51" s="74">
        <f t="shared" ref="D51" si="57">SUM(J51,L51,N51,P51,R51,T51,V51,X51,Z51,AB51,AD51,AF51)</f>
        <v>314.7</v>
      </c>
      <c r="E51" s="62">
        <f t="shared" ref="E51" si="58">J51</f>
        <v>0</v>
      </c>
      <c r="F51" s="62">
        <f t="shared" si="53"/>
        <v>0</v>
      </c>
      <c r="G51" s="62">
        <f t="shared" ref="G51" si="59">SUM(K51,M51,O51,Q51,S51,U51,W51,Y51,AA51,AC51,AE51,AG51)</f>
        <v>0</v>
      </c>
      <c r="H51" s="62">
        <f t="shared" si="54"/>
        <v>0</v>
      </c>
      <c r="I51" s="62">
        <f t="shared" si="55"/>
        <v>0</v>
      </c>
      <c r="J51" s="63">
        <v>0</v>
      </c>
      <c r="K51" s="63">
        <v>0</v>
      </c>
      <c r="L51" s="63">
        <v>0</v>
      </c>
      <c r="M51" s="63">
        <v>0</v>
      </c>
      <c r="N51" s="63">
        <v>0</v>
      </c>
      <c r="O51" s="63">
        <v>0</v>
      </c>
      <c r="P51" s="63">
        <v>0</v>
      </c>
      <c r="Q51" s="63">
        <v>0</v>
      </c>
      <c r="R51" s="63">
        <v>0</v>
      </c>
      <c r="S51" s="63">
        <v>0</v>
      </c>
      <c r="T51" s="63">
        <v>0</v>
      </c>
      <c r="U51" s="63">
        <v>0</v>
      </c>
      <c r="V51" s="63">
        <v>0</v>
      </c>
      <c r="W51" s="63">
        <v>0</v>
      </c>
      <c r="X51" s="63">
        <v>314.7</v>
      </c>
      <c r="Y51" s="63">
        <v>0</v>
      </c>
      <c r="Z51" s="63">
        <v>0</v>
      </c>
      <c r="AA51" s="63">
        <v>0</v>
      </c>
      <c r="AB51" s="63">
        <v>0</v>
      </c>
      <c r="AC51" s="63">
        <v>0</v>
      </c>
      <c r="AD51" s="63">
        <v>0</v>
      </c>
      <c r="AE51" s="63">
        <v>0</v>
      </c>
      <c r="AF51" s="63">
        <v>0</v>
      </c>
      <c r="AG51" s="63">
        <v>0</v>
      </c>
      <c r="AH51" s="64"/>
      <c r="AI51" s="20"/>
    </row>
    <row r="52" spans="1:35" s="22" customFormat="1" ht="30.75" customHeight="1" x14ac:dyDescent="0.25">
      <c r="A52" s="117"/>
      <c r="B52" s="391" t="s">
        <v>128</v>
      </c>
      <c r="C52" s="126" t="s">
        <v>20</v>
      </c>
      <c r="D52" s="74">
        <f t="shared" ref="D52:E52" si="60">D53</f>
        <v>75.599999999999994</v>
      </c>
      <c r="E52" s="62">
        <f t="shared" si="60"/>
        <v>0</v>
      </c>
      <c r="F52" s="62">
        <f t="shared" si="53"/>
        <v>0</v>
      </c>
      <c r="G52" s="62">
        <f>G53</f>
        <v>0</v>
      </c>
      <c r="H52" s="62">
        <f t="shared" si="54"/>
        <v>0</v>
      </c>
      <c r="I52" s="62">
        <f t="shared" si="55"/>
        <v>0</v>
      </c>
      <c r="J52" s="62">
        <f t="shared" ref="J52:AG52" si="61">J53</f>
        <v>0</v>
      </c>
      <c r="K52" s="62">
        <f t="shared" si="61"/>
        <v>0</v>
      </c>
      <c r="L52" s="62">
        <f t="shared" si="61"/>
        <v>0</v>
      </c>
      <c r="M52" s="62">
        <f t="shared" si="61"/>
        <v>0</v>
      </c>
      <c r="N52" s="62">
        <f t="shared" si="61"/>
        <v>0</v>
      </c>
      <c r="O52" s="62">
        <f t="shared" si="61"/>
        <v>0</v>
      </c>
      <c r="P52" s="62">
        <f t="shared" si="61"/>
        <v>0</v>
      </c>
      <c r="Q52" s="62">
        <f t="shared" si="61"/>
        <v>0</v>
      </c>
      <c r="R52" s="62">
        <f t="shared" si="61"/>
        <v>75.599999999999994</v>
      </c>
      <c r="S52" s="62">
        <f t="shared" si="61"/>
        <v>0</v>
      </c>
      <c r="T52" s="62">
        <f t="shared" si="61"/>
        <v>0</v>
      </c>
      <c r="U52" s="62">
        <f t="shared" si="61"/>
        <v>0</v>
      </c>
      <c r="V52" s="62">
        <f t="shared" si="61"/>
        <v>0</v>
      </c>
      <c r="W52" s="62">
        <f t="shared" si="61"/>
        <v>0</v>
      </c>
      <c r="X52" s="62">
        <f t="shared" si="61"/>
        <v>0</v>
      </c>
      <c r="Y52" s="62">
        <f t="shared" si="61"/>
        <v>0</v>
      </c>
      <c r="Z52" s="62">
        <f t="shared" si="61"/>
        <v>0</v>
      </c>
      <c r="AA52" s="62">
        <f t="shared" si="61"/>
        <v>0</v>
      </c>
      <c r="AB52" s="62">
        <f t="shared" si="61"/>
        <v>0</v>
      </c>
      <c r="AC52" s="62">
        <f t="shared" si="61"/>
        <v>0</v>
      </c>
      <c r="AD52" s="62">
        <f t="shared" si="61"/>
        <v>0</v>
      </c>
      <c r="AE52" s="62">
        <f t="shared" si="61"/>
        <v>0</v>
      </c>
      <c r="AF52" s="62">
        <f t="shared" si="61"/>
        <v>0</v>
      </c>
      <c r="AG52" s="62">
        <f t="shared" si="61"/>
        <v>0</v>
      </c>
      <c r="AH52" s="64"/>
      <c r="AI52" s="20"/>
    </row>
    <row r="53" spans="1:35" s="22" customFormat="1" ht="37.5" customHeight="1" x14ac:dyDescent="0.25">
      <c r="A53" s="116"/>
      <c r="B53" s="391"/>
      <c r="C53" s="126" t="s">
        <v>21</v>
      </c>
      <c r="D53" s="74">
        <f t="shared" ref="D53" si="62">SUM(J53,L53,N53,P53,R53,T53,V53,X53,Z53,AB53,AD53,AF53)</f>
        <v>75.599999999999994</v>
      </c>
      <c r="E53" s="62">
        <f t="shared" ref="E53" si="63">J53</f>
        <v>0</v>
      </c>
      <c r="F53" s="62">
        <f t="shared" si="53"/>
        <v>0</v>
      </c>
      <c r="G53" s="62">
        <f t="shared" ref="G53" si="64">SUM(K53,M53,O53,Q53,S53,U53,W53,Y53,AA53,AC53,AE53,AG53)</f>
        <v>0</v>
      </c>
      <c r="H53" s="62">
        <f t="shared" si="54"/>
        <v>0</v>
      </c>
      <c r="I53" s="62">
        <f t="shared" si="55"/>
        <v>0</v>
      </c>
      <c r="J53" s="63">
        <v>0</v>
      </c>
      <c r="K53" s="63">
        <v>0</v>
      </c>
      <c r="L53" s="63">
        <v>0</v>
      </c>
      <c r="M53" s="63">
        <v>0</v>
      </c>
      <c r="N53" s="63">
        <v>0</v>
      </c>
      <c r="O53" s="63">
        <v>0</v>
      </c>
      <c r="P53" s="63">
        <v>0</v>
      </c>
      <c r="Q53" s="63">
        <v>0</v>
      </c>
      <c r="R53" s="63">
        <v>75.599999999999994</v>
      </c>
      <c r="S53" s="63">
        <v>0</v>
      </c>
      <c r="T53" s="63">
        <v>0</v>
      </c>
      <c r="U53" s="63">
        <v>0</v>
      </c>
      <c r="V53" s="63">
        <v>0</v>
      </c>
      <c r="W53" s="63">
        <v>0</v>
      </c>
      <c r="X53" s="63">
        <v>0</v>
      </c>
      <c r="Y53" s="63">
        <v>0</v>
      </c>
      <c r="Z53" s="63">
        <v>0</v>
      </c>
      <c r="AA53" s="63">
        <v>0</v>
      </c>
      <c r="AB53" s="63">
        <v>0</v>
      </c>
      <c r="AC53" s="63">
        <v>0</v>
      </c>
      <c r="AD53" s="63">
        <v>0</v>
      </c>
      <c r="AE53" s="63">
        <v>0</v>
      </c>
      <c r="AF53" s="63">
        <v>0</v>
      </c>
      <c r="AG53" s="63">
        <v>0</v>
      </c>
      <c r="AH53" s="60"/>
      <c r="AI53" s="20"/>
    </row>
    <row r="54" spans="1:35" s="22" customFormat="1" ht="30.75" customHeight="1" x14ac:dyDescent="0.25">
      <c r="A54" s="116"/>
      <c r="B54" s="391" t="s">
        <v>129</v>
      </c>
      <c r="C54" s="125" t="s">
        <v>20</v>
      </c>
      <c r="D54" s="74">
        <f t="shared" ref="D54:E54" si="65">D55</f>
        <v>500</v>
      </c>
      <c r="E54" s="62">
        <f t="shared" si="65"/>
        <v>174.4</v>
      </c>
      <c r="F54" s="62">
        <f t="shared" si="53"/>
        <v>0</v>
      </c>
      <c r="G54" s="62">
        <f>G55</f>
        <v>0</v>
      </c>
      <c r="H54" s="62">
        <f t="shared" si="54"/>
        <v>0</v>
      </c>
      <c r="I54" s="62">
        <f t="shared" si="55"/>
        <v>0</v>
      </c>
      <c r="J54" s="62">
        <f t="shared" ref="J54:AG54" si="66">J55</f>
        <v>0</v>
      </c>
      <c r="K54" s="62">
        <f t="shared" si="66"/>
        <v>0</v>
      </c>
      <c r="L54" s="62">
        <f t="shared" si="66"/>
        <v>0</v>
      </c>
      <c r="M54" s="62">
        <f t="shared" si="66"/>
        <v>0</v>
      </c>
      <c r="N54" s="62">
        <f t="shared" si="66"/>
        <v>174.4</v>
      </c>
      <c r="O54" s="62">
        <f t="shared" si="66"/>
        <v>0</v>
      </c>
      <c r="P54" s="62">
        <f t="shared" si="66"/>
        <v>171.2</v>
      </c>
      <c r="Q54" s="62">
        <f t="shared" si="66"/>
        <v>0</v>
      </c>
      <c r="R54" s="62">
        <f t="shared" si="66"/>
        <v>0</v>
      </c>
      <c r="S54" s="62">
        <f t="shared" si="66"/>
        <v>0</v>
      </c>
      <c r="T54" s="62">
        <f t="shared" si="66"/>
        <v>0</v>
      </c>
      <c r="U54" s="62">
        <f t="shared" si="66"/>
        <v>0</v>
      </c>
      <c r="V54" s="62">
        <f t="shared" si="66"/>
        <v>0</v>
      </c>
      <c r="W54" s="62">
        <f t="shared" si="66"/>
        <v>0</v>
      </c>
      <c r="X54" s="62">
        <f t="shared" si="66"/>
        <v>154.4</v>
      </c>
      <c r="Y54" s="62">
        <f t="shared" si="66"/>
        <v>0</v>
      </c>
      <c r="Z54" s="62">
        <f t="shared" si="66"/>
        <v>0</v>
      </c>
      <c r="AA54" s="62">
        <f t="shared" si="66"/>
        <v>0</v>
      </c>
      <c r="AB54" s="62">
        <f t="shared" si="66"/>
        <v>0</v>
      </c>
      <c r="AC54" s="62">
        <f t="shared" si="66"/>
        <v>0</v>
      </c>
      <c r="AD54" s="62">
        <f t="shared" si="66"/>
        <v>0</v>
      </c>
      <c r="AE54" s="62">
        <f t="shared" si="66"/>
        <v>0</v>
      </c>
      <c r="AF54" s="62">
        <f t="shared" si="66"/>
        <v>0</v>
      </c>
      <c r="AG54" s="62">
        <f t="shared" si="66"/>
        <v>0</v>
      </c>
      <c r="AH54" s="324"/>
      <c r="AI54" s="20"/>
    </row>
    <row r="55" spans="1:35" s="22" customFormat="1" ht="37.5" customHeight="1" x14ac:dyDescent="0.25">
      <c r="A55" s="116"/>
      <c r="B55" s="391"/>
      <c r="C55" s="126" t="s">
        <v>21</v>
      </c>
      <c r="D55" s="74">
        <f t="shared" ref="D55" si="67">SUM(J55,L55,N55,P55,R55,T55,V55,X55,Z55,AB55,AD55,AF55)</f>
        <v>500</v>
      </c>
      <c r="E55" s="62">
        <f>J55+L55+N55</f>
        <v>174.4</v>
      </c>
      <c r="F55" s="62">
        <f t="shared" si="53"/>
        <v>0</v>
      </c>
      <c r="G55" s="62">
        <f t="shared" ref="G55" si="68">SUM(K55,M55,O55,Q55,S55,U55,W55,Y55,AA55,AC55,AE55,AG55)</f>
        <v>0</v>
      </c>
      <c r="H55" s="62">
        <f t="shared" si="54"/>
        <v>0</v>
      </c>
      <c r="I55" s="62">
        <f t="shared" si="55"/>
        <v>0</v>
      </c>
      <c r="J55" s="63">
        <v>0</v>
      </c>
      <c r="K55" s="63">
        <v>0</v>
      </c>
      <c r="L55" s="63">
        <v>0</v>
      </c>
      <c r="M55" s="63">
        <v>0</v>
      </c>
      <c r="N55" s="63">
        <v>174.4</v>
      </c>
      <c r="O55" s="63">
        <v>0</v>
      </c>
      <c r="P55" s="63">
        <v>171.2</v>
      </c>
      <c r="Q55" s="63">
        <v>0</v>
      </c>
      <c r="R55" s="63">
        <v>0</v>
      </c>
      <c r="S55" s="63">
        <v>0</v>
      </c>
      <c r="T55" s="63">
        <v>0</v>
      </c>
      <c r="U55" s="63">
        <v>0</v>
      </c>
      <c r="V55" s="63">
        <v>0</v>
      </c>
      <c r="W55" s="63">
        <v>0</v>
      </c>
      <c r="X55" s="63">
        <v>154.4</v>
      </c>
      <c r="Y55" s="63">
        <v>0</v>
      </c>
      <c r="Z55" s="63">
        <v>0</v>
      </c>
      <c r="AA55" s="63">
        <v>0</v>
      </c>
      <c r="AB55" s="63">
        <v>0</v>
      </c>
      <c r="AC55" s="63">
        <v>0</v>
      </c>
      <c r="AD55" s="63">
        <v>0</v>
      </c>
      <c r="AE55" s="63">
        <v>0</v>
      </c>
      <c r="AF55" s="63">
        <v>0</v>
      </c>
      <c r="AG55" s="63">
        <v>0</v>
      </c>
      <c r="AH55" s="60"/>
      <c r="AI55" s="20"/>
    </row>
    <row r="56" spans="1:35" s="22" customFormat="1" ht="30.75" customHeight="1" x14ac:dyDescent="0.25">
      <c r="A56" s="116"/>
      <c r="B56" s="391" t="s">
        <v>130</v>
      </c>
      <c r="C56" s="125" t="s">
        <v>20</v>
      </c>
      <c r="D56" s="74">
        <f t="shared" ref="D56:E56" si="69">D57</f>
        <v>434.2</v>
      </c>
      <c r="E56" s="62">
        <f t="shared" si="69"/>
        <v>0</v>
      </c>
      <c r="F56" s="62">
        <f t="shared" si="53"/>
        <v>0</v>
      </c>
      <c r="G56" s="62">
        <f>G57</f>
        <v>0</v>
      </c>
      <c r="H56" s="62">
        <f t="shared" si="54"/>
        <v>0</v>
      </c>
      <c r="I56" s="62">
        <f t="shared" si="55"/>
        <v>0</v>
      </c>
      <c r="J56" s="62">
        <f t="shared" ref="J56:AG56" si="70">J57</f>
        <v>0</v>
      </c>
      <c r="K56" s="62">
        <f t="shared" si="70"/>
        <v>0</v>
      </c>
      <c r="L56" s="62">
        <f t="shared" si="70"/>
        <v>0</v>
      </c>
      <c r="M56" s="62">
        <f t="shared" si="70"/>
        <v>0</v>
      </c>
      <c r="N56" s="62">
        <f t="shared" si="70"/>
        <v>0</v>
      </c>
      <c r="O56" s="62">
        <f t="shared" si="70"/>
        <v>0</v>
      </c>
      <c r="P56" s="62">
        <f t="shared" si="70"/>
        <v>434.2</v>
      </c>
      <c r="Q56" s="62">
        <f t="shared" si="70"/>
        <v>0</v>
      </c>
      <c r="R56" s="62">
        <f t="shared" si="70"/>
        <v>0</v>
      </c>
      <c r="S56" s="62">
        <f t="shared" si="70"/>
        <v>0</v>
      </c>
      <c r="T56" s="62">
        <f t="shared" si="70"/>
        <v>0</v>
      </c>
      <c r="U56" s="62">
        <f t="shared" si="70"/>
        <v>0</v>
      </c>
      <c r="V56" s="62">
        <f t="shared" si="70"/>
        <v>0</v>
      </c>
      <c r="W56" s="62">
        <f t="shared" si="70"/>
        <v>0</v>
      </c>
      <c r="X56" s="62">
        <f t="shared" si="70"/>
        <v>0</v>
      </c>
      <c r="Y56" s="62">
        <f t="shared" si="70"/>
        <v>0</v>
      </c>
      <c r="Z56" s="62">
        <f t="shared" si="70"/>
        <v>0</v>
      </c>
      <c r="AA56" s="62">
        <f t="shared" si="70"/>
        <v>0</v>
      </c>
      <c r="AB56" s="62">
        <f t="shared" si="70"/>
        <v>0</v>
      </c>
      <c r="AC56" s="62">
        <f t="shared" si="70"/>
        <v>0</v>
      </c>
      <c r="AD56" s="62">
        <f t="shared" si="70"/>
        <v>0</v>
      </c>
      <c r="AE56" s="62">
        <f t="shared" si="70"/>
        <v>0</v>
      </c>
      <c r="AF56" s="62">
        <f t="shared" si="70"/>
        <v>0</v>
      </c>
      <c r="AG56" s="62">
        <f t="shared" si="70"/>
        <v>0</v>
      </c>
      <c r="AH56" s="60"/>
      <c r="AI56" s="20"/>
    </row>
    <row r="57" spans="1:35" s="22" customFormat="1" ht="37.5" customHeight="1" x14ac:dyDescent="0.25">
      <c r="A57" s="116"/>
      <c r="B57" s="391"/>
      <c r="C57" s="126" t="s">
        <v>21</v>
      </c>
      <c r="D57" s="74">
        <f t="shared" ref="D57" si="71">SUM(J57,L57,N57,P57,R57,T57,V57,X57,Z57,AB57,AD57,AF57)</f>
        <v>434.2</v>
      </c>
      <c r="E57" s="62">
        <f t="shared" ref="E57" si="72">J57</f>
        <v>0</v>
      </c>
      <c r="F57" s="62">
        <f t="shared" si="53"/>
        <v>0</v>
      </c>
      <c r="G57" s="62">
        <f t="shared" ref="G57" si="73">SUM(K57,M57,O57,Q57,S57,U57,W57,Y57,AA57,AC57,AE57,AG57)</f>
        <v>0</v>
      </c>
      <c r="H57" s="62">
        <f t="shared" si="54"/>
        <v>0</v>
      </c>
      <c r="I57" s="62">
        <f t="shared" si="55"/>
        <v>0</v>
      </c>
      <c r="J57" s="63">
        <v>0</v>
      </c>
      <c r="K57" s="63">
        <v>0</v>
      </c>
      <c r="L57" s="63">
        <v>0</v>
      </c>
      <c r="M57" s="63">
        <v>0</v>
      </c>
      <c r="N57" s="63">
        <v>0</v>
      </c>
      <c r="O57" s="63">
        <v>0</v>
      </c>
      <c r="P57" s="63">
        <v>434.2</v>
      </c>
      <c r="Q57" s="63">
        <v>0</v>
      </c>
      <c r="R57" s="63">
        <v>0</v>
      </c>
      <c r="S57" s="63">
        <v>0</v>
      </c>
      <c r="T57" s="63">
        <v>0</v>
      </c>
      <c r="U57" s="63">
        <v>0</v>
      </c>
      <c r="V57" s="63">
        <v>0</v>
      </c>
      <c r="W57" s="63">
        <v>0</v>
      </c>
      <c r="X57" s="63">
        <v>0</v>
      </c>
      <c r="Y57" s="63">
        <v>0</v>
      </c>
      <c r="Z57" s="63">
        <v>0</v>
      </c>
      <c r="AA57" s="63">
        <v>0</v>
      </c>
      <c r="AB57" s="63">
        <v>0</v>
      </c>
      <c r="AC57" s="63">
        <v>0</v>
      </c>
      <c r="AD57" s="63">
        <v>0</v>
      </c>
      <c r="AE57" s="63">
        <v>0</v>
      </c>
      <c r="AF57" s="63">
        <v>0</v>
      </c>
      <c r="AG57" s="63">
        <v>0</v>
      </c>
      <c r="AH57" s="324"/>
      <c r="AI57" s="20"/>
    </row>
    <row r="58" spans="1:35" s="22" customFormat="1" ht="23.25" customHeight="1" x14ac:dyDescent="0.25">
      <c r="A58" s="392"/>
      <c r="B58" s="395" t="s">
        <v>131</v>
      </c>
      <c r="C58" s="126" t="s">
        <v>20</v>
      </c>
      <c r="D58" s="74">
        <f>D60+D59</f>
        <v>185930.30100000001</v>
      </c>
      <c r="E58" s="62">
        <f t="shared" ref="E58:G58" si="74">E60+E59</f>
        <v>41653.891999999993</v>
      </c>
      <c r="F58" s="62">
        <f t="shared" si="74"/>
        <v>41653.899999999994</v>
      </c>
      <c r="G58" s="62">
        <f t="shared" si="74"/>
        <v>19745.728999999999</v>
      </c>
      <c r="H58" s="62">
        <f t="shared" si="54"/>
        <v>10.619962907498332</v>
      </c>
      <c r="I58" s="62">
        <f t="shared" si="55"/>
        <v>47.404283374048219</v>
      </c>
      <c r="J58" s="63">
        <f>J60+J59</f>
        <v>10957.522000000001</v>
      </c>
      <c r="K58" s="63">
        <f t="shared" ref="K58:AG58" si="75">K60+K59</f>
        <v>5503.4949999999999</v>
      </c>
      <c r="L58" s="63">
        <f t="shared" si="75"/>
        <v>18593.322</v>
      </c>
      <c r="M58" s="63">
        <f t="shared" si="75"/>
        <v>14242.234</v>
      </c>
      <c r="N58" s="63">
        <f t="shared" si="75"/>
        <v>12103.047999999999</v>
      </c>
      <c r="O58" s="63">
        <f t="shared" si="75"/>
        <v>0</v>
      </c>
      <c r="P58" s="63">
        <f t="shared" si="75"/>
        <v>20584.542000000001</v>
      </c>
      <c r="Q58" s="63">
        <f t="shared" si="75"/>
        <v>0</v>
      </c>
      <c r="R58" s="63">
        <f t="shared" si="75"/>
        <v>16321.293</v>
      </c>
      <c r="S58" s="63">
        <f t="shared" si="75"/>
        <v>0</v>
      </c>
      <c r="T58" s="63">
        <f t="shared" si="75"/>
        <v>17898.165000000001</v>
      </c>
      <c r="U58" s="63">
        <f t="shared" si="75"/>
        <v>0</v>
      </c>
      <c r="V58" s="63">
        <f t="shared" si="75"/>
        <v>18491.98</v>
      </c>
      <c r="W58" s="63">
        <f t="shared" si="75"/>
        <v>0</v>
      </c>
      <c r="X58" s="63">
        <f t="shared" si="75"/>
        <v>11981.284</v>
      </c>
      <c r="Y58" s="63">
        <f t="shared" si="75"/>
        <v>0</v>
      </c>
      <c r="Z58" s="63">
        <f t="shared" si="75"/>
        <v>11288.455</v>
      </c>
      <c r="AA58" s="63">
        <f t="shared" si="75"/>
        <v>0</v>
      </c>
      <c r="AB58" s="63">
        <f t="shared" si="75"/>
        <v>15970.16</v>
      </c>
      <c r="AC58" s="63">
        <f t="shared" si="75"/>
        <v>0</v>
      </c>
      <c r="AD58" s="63">
        <f t="shared" si="75"/>
        <v>11335.47</v>
      </c>
      <c r="AE58" s="63">
        <f t="shared" si="75"/>
        <v>0</v>
      </c>
      <c r="AF58" s="63">
        <f t="shared" si="75"/>
        <v>20405.060000000001</v>
      </c>
      <c r="AG58" s="63">
        <f t="shared" si="75"/>
        <v>0</v>
      </c>
      <c r="AH58" s="64"/>
      <c r="AI58" s="20"/>
    </row>
    <row r="59" spans="1:35" s="22" customFormat="1" ht="63" customHeight="1" x14ac:dyDescent="0.25">
      <c r="A59" s="393"/>
      <c r="B59" s="396"/>
      <c r="C59" s="126" t="s">
        <v>21</v>
      </c>
      <c r="D59" s="74">
        <f>SUM(J59,L59,N59,P59,R59,T59,V59,X59,Z59,AB59,AD59,AF59)</f>
        <v>164330.304</v>
      </c>
      <c r="E59" s="62">
        <f>J59+L59+N59</f>
        <v>35807.015999999996</v>
      </c>
      <c r="F59" s="62">
        <v>35807.019999999997</v>
      </c>
      <c r="G59" s="62">
        <f>SUM(K59,M59,O59,Q59,S59,U59,W59,Y59,AA59,AC59,AE59,AG59)</f>
        <v>18054.061999999998</v>
      </c>
      <c r="H59" s="62">
        <f>IFERROR(G59/D59*100,0)</f>
        <v>10.986447149760032</v>
      </c>
      <c r="I59" s="62">
        <f>IFERROR(G59/E59*100,0)</f>
        <v>50.42045949877533</v>
      </c>
      <c r="J59" s="63">
        <v>8609.4639999999999</v>
      </c>
      <c r="K59" s="63">
        <v>4860.6880000000001</v>
      </c>
      <c r="L59" s="63">
        <v>16994.278999999999</v>
      </c>
      <c r="M59" s="63">
        <v>13193.374</v>
      </c>
      <c r="N59" s="63">
        <v>10203.272999999999</v>
      </c>
      <c r="O59" s="63">
        <v>0</v>
      </c>
      <c r="P59" s="63">
        <v>17529.714</v>
      </c>
      <c r="Q59" s="63">
        <v>0</v>
      </c>
      <c r="R59" s="63">
        <v>14772.98</v>
      </c>
      <c r="S59" s="63">
        <v>0</v>
      </c>
      <c r="T59" s="63">
        <v>16510.393</v>
      </c>
      <c r="U59" s="63">
        <v>0</v>
      </c>
      <c r="V59" s="63">
        <v>16916.805</v>
      </c>
      <c r="W59" s="63">
        <v>0</v>
      </c>
      <c r="X59" s="63">
        <v>10654.089</v>
      </c>
      <c r="Y59" s="63">
        <v>0</v>
      </c>
      <c r="Z59" s="63">
        <v>9826.8310000000001</v>
      </c>
      <c r="AA59" s="63">
        <v>0</v>
      </c>
      <c r="AB59" s="63">
        <v>14035.343000000001</v>
      </c>
      <c r="AC59" s="63">
        <v>0</v>
      </c>
      <c r="AD59" s="63">
        <v>9593</v>
      </c>
      <c r="AE59" s="63">
        <v>0</v>
      </c>
      <c r="AF59" s="63">
        <v>18684.133000000002</v>
      </c>
      <c r="AG59" s="63">
        <v>0</v>
      </c>
      <c r="AH59" s="298"/>
      <c r="AI59" s="20"/>
    </row>
    <row r="60" spans="1:35" s="22" customFormat="1" ht="60.75" customHeight="1" x14ac:dyDescent="0.25">
      <c r="A60" s="394"/>
      <c r="B60" s="397"/>
      <c r="C60" s="126" t="s">
        <v>114</v>
      </c>
      <c r="D60" s="74">
        <f>SUM(J60,L60,N60,P60,R60,T60,V60,X60,Z60,AB60,AD60,AF60)</f>
        <v>21599.996999999999</v>
      </c>
      <c r="E60" s="62">
        <f>J60+L60+N60</f>
        <v>5846.8760000000002</v>
      </c>
      <c r="F60" s="62">
        <v>5846.88</v>
      </c>
      <c r="G60" s="62">
        <f>SUM(K60,M60,O60,Q60,S60,U60,W60,Y60,AA60,AC60,AE60,AG60)</f>
        <v>1691.6669999999999</v>
      </c>
      <c r="H60" s="62">
        <f>IFERROR(G60/D60*100,0)</f>
        <v>7.8317927544156607</v>
      </c>
      <c r="I60" s="62">
        <f>IFERROR(G60/E60*100,0)</f>
        <v>28.932835243983281</v>
      </c>
      <c r="J60" s="63">
        <v>2348.058</v>
      </c>
      <c r="K60" s="63">
        <v>642.80700000000002</v>
      </c>
      <c r="L60" s="63">
        <v>1599.0429999999999</v>
      </c>
      <c r="M60" s="63">
        <v>1048.8599999999999</v>
      </c>
      <c r="N60" s="63">
        <v>1899.7750000000001</v>
      </c>
      <c r="O60" s="63">
        <v>0</v>
      </c>
      <c r="P60" s="63">
        <v>3054.828</v>
      </c>
      <c r="Q60" s="63">
        <v>0</v>
      </c>
      <c r="R60" s="63">
        <v>1548.3130000000001</v>
      </c>
      <c r="S60" s="63">
        <v>0</v>
      </c>
      <c r="T60" s="63">
        <v>1387.7719999999999</v>
      </c>
      <c r="U60" s="63">
        <v>0</v>
      </c>
      <c r="V60" s="63">
        <v>1575.175</v>
      </c>
      <c r="W60" s="63">
        <v>0</v>
      </c>
      <c r="X60" s="63">
        <v>1327.1949999999999</v>
      </c>
      <c r="Y60" s="63">
        <v>0</v>
      </c>
      <c r="Z60" s="63">
        <v>1461.624</v>
      </c>
      <c r="AA60" s="63">
        <v>0</v>
      </c>
      <c r="AB60" s="63">
        <v>1934.817</v>
      </c>
      <c r="AC60" s="63">
        <v>0</v>
      </c>
      <c r="AD60" s="63">
        <v>1742.47</v>
      </c>
      <c r="AE60" s="63">
        <v>0</v>
      </c>
      <c r="AF60" s="63">
        <v>1720.9269999999999</v>
      </c>
      <c r="AG60" s="63">
        <v>0</v>
      </c>
      <c r="AH60" s="299"/>
      <c r="AI60" s="20"/>
    </row>
    <row r="61" spans="1:35" s="22" customFormat="1" ht="66.75" customHeight="1" x14ac:dyDescent="0.25">
      <c r="A61" s="116"/>
      <c r="B61" s="391" t="s">
        <v>132</v>
      </c>
      <c r="C61" s="125" t="s">
        <v>20</v>
      </c>
      <c r="D61" s="74">
        <f t="shared" ref="D61:E61" si="76">D62</f>
        <v>14228.499999999998</v>
      </c>
      <c r="E61" s="62">
        <f t="shared" si="76"/>
        <v>3027.549</v>
      </c>
      <c r="F61" s="62">
        <f t="shared" ref="F61:F64" si="77">G61</f>
        <v>2010.875</v>
      </c>
      <c r="G61" s="62">
        <f>G62</f>
        <v>2010.875</v>
      </c>
      <c r="H61" s="62">
        <f t="shared" ref="H61:H67" si="78">IFERROR(G61/D61*100,0)</f>
        <v>14.132726569912501</v>
      </c>
      <c r="I61" s="62">
        <f t="shared" ref="I61:I67" si="79">IFERROR(G61/E61*100,0)</f>
        <v>66.419238796795682</v>
      </c>
      <c r="J61" s="62">
        <f t="shared" ref="J61:AG61" si="80">J62</f>
        <v>1197.434</v>
      </c>
      <c r="K61" s="62">
        <f t="shared" si="80"/>
        <v>464.17700000000002</v>
      </c>
      <c r="L61" s="62">
        <f t="shared" si="80"/>
        <v>1047.287</v>
      </c>
      <c r="M61" s="62">
        <f t="shared" si="80"/>
        <v>1546.6980000000001</v>
      </c>
      <c r="N61" s="62">
        <f t="shared" si="80"/>
        <v>782.82799999999997</v>
      </c>
      <c r="O61" s="62">
        <f t="shared" si="80"/>
        <v>0</v>
      </c>
      <c r="P61" s="62">
        <f t="shared" si="80"/>
        <v>1332.6479999999999</v>
      </c>
      <c r="Q61" s="62">
        <f t="shared" si="80"/>
        <v>0</v>
      </c>
      <c r="R61" s="62">
        <f t="shared" si="80"/>
        <v>888.12900000000002</v>
      </c>
      <c r="S61" s="62">
        <f t="shared" si="80"/>
        <v>0</v>
      </c>
      <c r="T61" s="62">
        <f t="shared" si="80"/>
        <v>439.42200000000003</v>
      </c>
      <c r="U61" s="62">
        <f t="shared" si="80"/>
        <v>0</v>
      </c>
      <c r="V61" s="62">
        <f t="shared" si="80"/>
        <v>0</v>
      </c>
      <c r="W61" s="62">
        <f t="shared" si="80"/>
        <v>0</v>
      </c>
      <c r="X61" s="62">
        <f t="shared" si="80"/>
        <v>1614.5129999999999</v>
      </c>
      <c r="Y61" s="62">
        <f t="shared" si="80"/>
        <v>0</v>
      </c>
      <c r="Z61" s="62">
        <f t="shared" si="80"/>
        <v>5999.3559999999998</v>
      </c>
      <c r="AA61" s="62">
        <f t="shared" si="80"/>
        <v>0</v>
      </c>
      <c r="AB61" s="62">
        <f t="shared" si="80"/>
        <v>35.975999999999999</v>
      </c>
      <c r="AC61" s="62">
        <f t="shared" si="80"/>
        <v>0</v>
      </c>
      <c r="AD61" s="62">
        <f t="shared" si="80"/>
        <v>16.399999999999999</v>
      </c>
      <c r="AE61" s="62">
        <f t="shared" si="80"/>
        <v>0</v>
      </c>
      <c r="AF61" s="62">
        <f t="shared" si="80"/>
        <v>874.50699999999995</v>
      </c>
      <c r="AG61" s="62">
        <f t="shared" si="80"/>
        <v>0</v>
      </c>
      <c r="AH61" s="321"/>
      <c r="AI61" s="20"/>
    </row>
    <row r="62" spans="1:35" s="22" customFormat="1" ht="37.5" customHeight="1" x14ac:dyDescent="0.25">
      <c r="A62" s="116"/>
      <c r="B62" s="391"/>
      <c r="C62" s="126" t="s">
        <v>21</v>
      </c>
      <c r="D62" s="74">
        <f t="shared" ref="D62" si="81">SUM(J62,L62,N62,P62,R62,T62,V62,X62,Z62,AB62,AD62,AF62)</f>
        <v>14228.499999999998</v>
      </c>
      <c r="E62" s="62">
        <f>J62+L62+N62</f>
        <v>3027.549</v>
      </c>
      <c r="F62" s="62">
        <f t="shared" si="77"/>
        <v>2010.875</v>
      </c>
      <c r="G62" s="62">
        <f>SUM(K62,M62,O62,Q62,S62,U62,W62,Y62,AA62,AC62,AE62,AG62)</f>
        <v>2010.875</v>
      </c>
      <c r="H62" s="62">
        <f t="shared" si="78"/>
        <v>14.132726569912501</v>
      </c>
      <c r="I62" s="62">
        <f t="shared" si="79"/>
        <v>66.419238796795682</v>
      </c>
      <c r="J62" s="63">
        <v>1197.434</v>
      </c>
      <c r="K62" s="63">
        <v>464.17700000000002</v>
      </c>
      <c r="L62" s="63">
        <v>1047.287</v>
      </c>
      <c r="M62" s="63">
        <v>1546.6980000000001</v>
      </c>
      <c r="N62" s="63">
        <v>782.82799999999997</v>
      </c>
      <c r="O62" s="63">
        <v>0</v>
      </c>
      <c r="P62" s="63">
        <v>1332.6479999999999</v>
      </c>
      <c r="Q62" s="63">
        <v>0</v>
      </c>
      <c r="R62" s="63">
        <v>888.12900000000002</v>
      </c>
      <c r="S62" s="63">
        <v>0</v>
      </c>
      <c r="T62" s="63">
        <v>439.42200000000003</v>
      </c>
      <c r="U62" s="63">
        <v>0</v>
      </c>
      <c r="V62" s="63">
        <v>0</v>
      </c>
      <c r="W62" s="63">
        <v>0</v>
      </c>
      <c r="X62" s="63">
        <v>1614.5129999999999</v>
      </c>
      <c r="Y62" s="63">
        <v>0</v>
      </c>
      <c r="Z62" s="63">
        <v>5999.3559999999998</v>
      </c>
      <c r="AA62" s="63">
        <v>0</v>
      </c>
      <c r="AB62" s="63">
        <v>35.975999999999999</v>
      </c>
      <c r="AC62" s="63">
        <v>0</v>
      </c>
      <c r="AD62" s="63">
        <v>16.399999999999999</v>
      </c>
      <c r="AE62" s="63">
        <v>0</v>
      </c>
      <c r="AF62" s="63">
        <v>874.50699999999995</v>
      </c>
      <c r="AG62" s="63">
        <v>0</v>
      </c>
      <c r="AH62" s="319"/>
      <c r="AI62" s="20"/>
    </row>
    <row r="63" spans="1:35" s="22" customFormat="1" ht="30.75" customHeight="1" x14ac:dyDescent="0.25">
      <c r="A63" s="116"/>
      <c r="B63" s="391" t="s">
        <v>133</v>
      </c>
      <c r="C63" s="125" t="s">
        <v>20</v>
      </c>
      <c r="D63" s="74">
        <f t="shared" ref="D63:E63" si="82">D64</f>
        <v>50</v>
      </c>
      <c r="E63" s="62">
        <f t="shared" si="82"/>
        <v>0</v>
      </c>
      <c r="F63" s="62">
        <f t="shared" si="77"/>
        <v>0</v>
      </c>
      <c r="G63" s="62">
        <f>G64</f>
        <v>0</v>
      </c>
      <c r="H63" s="62">
        <f t="shared" si="78"/>
        <v>0</v>
      </c>
      <c r="I63" s="62">
        <f t="shared" si="79"/>
        <v>0</v>
      </c>
      <c r="J63" s="62">
        <f t="shared" ref="J63:AG63" si="83">J64</f>
        <v>0</v>
      </c>
      <c r="K63" s="62">
        <f t="shared" si="83"/>
        <v>0</v>
      </c>
      <c r="L63" s="62">
        <f t="shared" si="83"/>
        <v>0</v>
      </c>
      <c r="M63" s="62">
        <f t="shared" si="83"/>
        <v>0</v>
      </c>
      <c r="N63" s="62">
        <f t="shared" si="83"/>
        <v>0</v>
      </c>
      <c r="O63" s="62">
        <f t="shared" si="83"/>
        <v>0</v>
      </c>
      <c r="P63" s="62">
        <f t="shared" si="83"/>
        <v>0</v>
      </c>
      <c r="Q63" s="62">
        <f t="shared" si="83"/>
        <v>0</v>
      </c>
      <c r="R63" s="62">
        <f t="shared" si="83"/>
        <v>0</v>
      </c>
      <c r="S63" s="62">
        <f t="shared" si="83"/>
        <v>0</v>
      </c>
      <c r="T63" s="62">
        <f t="shared" si="83"/>
        <v>0</v>
      </c>
      <c r="U63" s="62">
        <f t="shared" si="83"/>
        <v>0</v>
      </c>
      <c r="V63" s="62">
        <f t="shared" si="83"/>
        <v>0</v>
      </c>
      <c r="W63" s="62">
        <f t="shared" si="83"/>
        <v>0</v>
      </c>
      <c r="X63" s="62">
        <f t="shared" si="83"/>
        <v>0</v>
      </c>
      <c r="Y63" s="62">
        <f t="shared" si="83"/>
        <v>0</v>
      </c>
      <c r="Z63" s="62">
        <f t="shared" si="83"/>
        <v>0</v>
      </c>
      <c r="AA63" s="62">
        <f t="shared" si="83"/>
        <v>0</v>
      </c>
      <c r="AB63" s="62">
        <f t="shared" si="83"/>
        <v>0</v>
      </c>
      <c r="AC63" s="62">
        <f t="shared" si="83"/>
        <v>0</v>
      </c>
      <c r="AD63" s="62">
        <f t="shared" si="83"/>
        <v>50</v>
      </c>
      <c r="AE63" s="62">
        <f t="shared" si="83"/>
        <v>0</v>
      </c>
      <c r="AF63" s="62">
        <f t="shared" si="83"/>
        <v>0</v>
      </c>
      <c r="AG63" s="62">
        <f t="shared" si="83"/>
        <v>0</v>
      </c>
      <c r="AH63" s="319"/>
      <c r="AI63" s="20"/>
    </row>
    <row r="64" spans="1:35" s="22" customFormat="1" ht="37.5" customHeight="1" x14ac:dyDescent="0.25">
      <c r="A64" s="116"/>
      <c r="B64" s="391"/>
      <c r="C64" s="126" t="s">
        <v>21</v>
      </c>
      <c r="D64" s="74">
        <f t="shared" ref="D64" si="84">SUM(J64,L64,N64,P64,R64,T64,V64,X64,Z64,AB64,AD64,AF64)</f>
        <v>50</v>
      </c>
      <c r="E64" s="62">
        <f t="shared" ref="E64" si="85">J64</f>
        <v>0</v>
      </c>
      <c r="F64" s="62">
        <f t="shared" si="77"/>
        <v>0</v>
      </c>
      <c r="G64" s="62">
        <f t="shared" ref="G64" si="86">SUM(K64,M64,O64,Q64,S64,U64,W64,Y64,AA64,AC64,AE64,AG64)</f>
        <v>0</v>
      </c>
      <c r="H64" s="62">
        <f t="shared" si="78"/>
        <v>0</v>
      </c>
      <c r="I64" s="62">
        <f t="shared" si="79"/>
        <v>0</v>
      </c>
      <c r="J64" s="63">
        <v>0</v>
      </c>
      <c r="K64" s="63">
        <v>0</v>
      </c>
      <c r="L64" s="63">
        <v>0</v>
      </c>
      <c r="M64" s="63">
        <v>0</v>
      </c>
      <c r="N64" s="63">
        <v>0</v>
      </c>
      <c r="O64" s="63">
        <v>0</v>
      </c>
      <c r="P64" s="63">
        <v>0</v>
      </c>
      <c r="Q64" s="63">
        <v>0</v>
      </c>
      <c r="R64" s="63">
        <v>0</v>
      </c>
      <c r="S64" s="63">
        <v>0</v>
      </c>
      <c r="T64" s="63">
        <v>0</v>
      </c>
      <c r="U64" s="63">
        <v>0</v>
      </c>
      <c r="V64" s="63">
        <v>0</v>
      </c>
      <c r="W64" s="63">
        <v>0</v>
      </c>
      <c r="X64" s="63">
        <v>0</v>
      </c>
      <c r="Y64" s="63">
        <v>0</v>
      </c>
      <c r="Z64" s="63">
        <v>0</v>
      </c>
      <c r="AA64" s="63">
        <v>0</v>
      </c>
      <c r="AB64" s="63">
        <v>0</v>
      </c>
      <c r="AC64" s="63">
        <v>0</v>
      </c>
      <c r="AD64" s="63">
        <v>50</v>
      </c>
      <c r="AE64" s="63">
        <v>0</v>
      </c>
      <c r="AF64" s="63">
        <v>0</v>
      </c>
      <c r="AG64" s="63">
        <v>0</v>
      </c>
      <c r="AH64" s="320"/>
      <c r="AI64" s="20"/>
    </row>
    <row r="65" spans="1:35" s="22" customFormat="1" ht="56.25" customHeight="1" x14ac:dyDescent="0.25">
      <c r="A65" s="292"/>
      <c r="B65" s="293" t="s">
        <v>342</v>
      </c>
      <c r="C65" s="296" t="s">
        <v>20</v>
      </c>
      <c r="D65" s="74">
        <f>D66</f>
        <v>164595.6</v>
      </c>
      <c r="E65" s="62">
        <f>E66</f>
        <v>128718.92</v>
      </c>
      <c r="F65" s="62">
        <f>G65</f>
        <v>0</v>
      </c>
      <c r="G65" s="62">
        <f>G66</f>
        <v>0</v>
      </c>
      <c r="H65" s="62">
        <f>IFERROR(G65/D65*100,0)</f>
        <v>0</v>
      </c>
      <c r="I65" s="62">
        <f>IFERROR(G65/E65*100,0)</f>
        <v>0</v>
      </c>
      <c r="J65" s="62">
        <f t="shared" ref="J65:AG65" si="87">J66</f>
        <v>0</v>
      </c>
      <c r="K65" s="62">
        <f t="shared" si="87"/>
        <v>0</v>
      </c>
      <c r="L65" s="62">
        <f t="shared" si="87"/>
        <v>0</v>
      </c>
      <c r="M65" s="62">
        <f t="shared" si="87"/>
        <v>0</v>
      </c>
      <c r="N65" s="62">
        <f t="shared" si="87"/>
        <v>128718.92</v>
      </c>
      <c r="O65" s="62">
        <f t="shared" si="87"/>
        <v>0</v>
      </c>
      <c r="P65" s="62">
        <f t="shared" si="87"/>
        <v>9781.6200000000008</v>
      </c>
      <c r="Q65" s="62">
        <f t="shared" si="87"/>
        <v>0</v>
      </c>
      <c r="R65" s="62">
        <f t="shared" si="87"/>
        <v>0</v>
      </c>
      <c r="S65" s="62">
        <f t="shared" si="87"/>
        <v>0</v>
      </c>
      <c r="T65" s="62">
        <f t="shared" si="87"/>
        <v>5222.26</v>
      </c>
      <c r="U65" s="62">
        <f t="shared" si="87"/>
        <v>0</v>
      </c>
      <c r="V65" s="62">
        <f t="shared" si="87"/>
        <v>730</v>
      </c>
      <c r="W65" s="62">
        <f t="shared" si="87"/>
        <v>0</v>
      </c>
      <c r="X65" s="62">
        <f t="shared" si="87"/>
        <v>16401</v>
      </c>
      <c r="Y65" s="62">
        <f t="shared" si="87"/>
        <v>0</v>
      </c>
      <c r="Z65" s="62">
        <f t="shared" si="87"/>
        <v>3741.8</v>
      </c>
      <c r="AA65" s="62">
        <f t="shared" si="87"/>
        <v>0</v>
      </c>
      <c r="AB65" s="62">
        <f t="shared" si="87"/>
        <v>0</v>
      </c>
      <c r="AC65" s="62">
        <f t="shared" si="87"/>
        <v>0</v>
      </c>
      <c r="AD65" s="62">
        <f t="shared" si="87"/>
        <v>0</v>
      </c>
      <c r="AE65" s="62">
        <f t="shared" si="87"/>
        <v>0</v>
      </c>
      <c r="AF65" s="62">
        <f t="shared" si="87"/>
        <v>0</v>
      </c>
      <c r="AG65" s="62">
        <f t="shared" si="87"/>
        <v>0</v>
      </c>
      <c r="AH65" s="340"/>
      <c r="AI65" s="20"/>
    </row>
    <row r="66" spans="1:35" s="22" customFormat="1" ht="50.25" customHeight="1" x14ac:dyDescent="0.25">
      <c r="A66" s="292"/>
      <c r="B66" s="295"/>
      <c r="C66" s="126" t="s">
        <v>21</v>
      </c>
      <c r="D66" s="74">
        <f>SUM(J66,L66,N66,P66,R66,T66,V66,X66,Z66,AB66,AD66,AF66)</f>
        <v>164595.6</v>
      </c>
      <c r="E66" s="62">
        <f>J66+L66+N66</f>
        <v>128718.92</v>
      </c>
      <c r="F66" s="62">
        <v>128718.92</v>
      </c>
      <c r="G66" s="62">
        <f>SUM(K66,M66,O66,Q66,S66,U66,W66,Y66,AA66,AC66,AE66,AG66)</f>
        <v>0</v>
      </c>
      <c r="H66" s="62">
        <f>IFERROR(G66/D66*100,0)</f>
        <v>0</v>
      </c>
      <c r="I66" s="62">
        <f>IFERROR(G66/E66*100,0)</f>
        <v>0</v>
      </c>
      <c r="J66" s="63">
        <v>0</v>
      </c>
      <c r="K66" s="63">
        <v>0</v>
      </c>
      <c r="L66" s="63">
        <v>0</v>
      </c>
      <c r="M66" s="63">
        <v>0</v>
      </c>
      <c r="N66" s="63">
        <v>128718.92</v>
      </c>
      <c r="O66" s="63">
        <v>0</v>
      </c>
      <c r="P66" s="63">
        <v>9781.6200000000008</v>
      </c>
      <c r="Q66" s="63">
        <v>0</v>
      </c>
      <c r="R66" s="63">
        <v>0</v>
      </c>
      <c r="S66" s="63">
        <v>0</v>
      </c>
      <c r="T66" s="63">
        <v>5222.26</v>
      </c>
      <c r="U66" s="63">
        <v>0</v>
      </c>
      <c r="V66" s="63">
        <v>730</v>
      </c>
      <c r="W66" s="63">
        <v>0</v>
      </c>
      <c r="X66" s="63">
        <v>16401</v>
      </c>
      <c r="Y66" s="63">
        <v>0</v>
      </c>
      <c r="Z66" s="63">
        <v>3741.8</v>
      </c>
      <c r="AA66" s="63">
        <v>0</v>
      </c>
      <c r="AB66" s="63">
        <v>0</v>
      </c>
      <c r="AC66" s="63">
        <v>0</v>
      </c>
      <c r="AD66" s="63">
        <v>0</v>
      </c>
      <c r="AE66" s="63">
        <v>0</v>
      </c>
      <c r="AF66" s="63">
        <v>0</v>
      </c>
      <c r="AG66" s="63">
        <v>0</v>
      </c>
      <c r="AH66" s="324"/>
      <c r="AI66" s="20"/>
    </row>
    <row r="67" spans="1:35" s="22" customFormat="1" ht="78.75" customHeight="1" x14ac:dyDescent="0.25">
      <c r="A67" s="374"/>
      <c r="B67" s="401" t="s">
        <v>134</v>
      </c>
      <c r="C67" s="125" t="s">
        <v>20</v>
      </c>
      <c r="D67" s="70">
        <f>D69+D68</f>
        <v>8991.7999999999993</v>
      </c>
      <c r="E67" s="58">
        <f t="shared" ref="E67:G67" si="88">E69+E68</f>
        <v>8991.7999999999993</v>
      </c>
      <c r="F67" s="58">
        <f t="shared" si="88"/>
        <v>8991.7999999999993</v>
      </c>
      <c r="G67" s="58">
        <f t="shared" si="88"/>
        <v>8991.7999999999993</v>
      </c>
      <c r="H67" s="58">
        <f t="shared" si="78"/>
        <v>100</v>
      </c>
      <c r="I67" s="58">
        <f t="shared" si="79"/>
        <v>100</v>
      </c>
      <c r="J67" s="59">
        <f>J69+J68</f>
        <v>8991.7999999999993</v>
      </c>
      <c r="K67" s="59">
        <f t="shared" ref="K67:AG67" si="89">K69+K68</f>
        <v>8991.7999999999993</v>
      </c>
      <c r="L67" s="59">
        <f t="shared" si="89"/>
        <v>0</v>
      </c>
      <c r="M67" s="59">
        <f t="shared" si="89"/>
        <v>0</v>
      </c>
      <c r="N67" s="59">
        <f t="shared" si="89"/>
        <v>0</v>
      </c>
      <c r="O67" s="59">
        <f t="shared" si="89"/>
        <v>0</v>
      </c>
      <c r="P67" s="59">
        <f t="shared" si="89"/>
        <v>0</v>
      </c>
      <c r="Q67" s="59">
        <f t="shared" si="89"/>
        <v>0</v>
      </c>
      <c r="R67" s="59">
        <f t="shared" si="89"/>
        <v>0</v>
      </c>
      <c r="S67" s="59">
        <f t="shared" si="89"/>
        <v>0</v>
      </c>
      <c r="T67" s="59">
        <f t="shared" si="89"/>
        <v>0</v>
      </c>
      <c r="U67" s="59">
        <f t="shared" si="89"/>
        <v>0</v>
      </c>
      <c r="V67" s="59">
        <f t="shared" si="89"/>
        <v>0</v>
      </c>
      <c r="W67" s="59">
        <f t="shared" si="89"/>
        <v>0</v>
      </c>
      <c r="X67" s="59">
        <f t="shared" si="89"/>
        <v>0</v>
      </c>
      <c r="Y67" s="59">
        <f t="shared" si="89"/>
        <v>0</v>
      </c>
      <c r="Z67" s="59">
        <f t="shared" si="89"/>
        <v>0</v>
      </c>
      <c r="AA67" s="59">
        <f t="shared" si="89"/>
        <v>0</v>
      </c>
      <c r="AB67" s="59">
        <f t="shared" si="89"/>
        <v>0</v>
      </c>
      <c r="AC67" s="59">
        <f t="shared" si="89"/>
        <v>0</v>
      </c>
      <c r="AD67" s="59">
        <f t="shared" si="89"/>
        <v>0</v>
      </c>
      <c r="AE67" s="59">
        <f t="shared" si="89"/>
        <v>0</v>
      </c>
      <c r="AF67" s="59">
        <f t="shared" si="89"/>
        <v>0</v>
      </c>
      <c r="AG67" s="59">
        <f t="shared" si="89"/>
        <v>0</v>
      </c>
      <c r="AH67" s="319"/>
      <c r="AI67" s="20"/>
    </row>
    <row r="68" spans="1:35" s="22" customFormat="1" ht="58.5" hidden="1" customHeight="1" x14ac:dyDescent="0.25">
      <c r="A68" s="374"/>
      <c r="B68" s="401"/>
      <c r="C68" s="126" t="s">
        <v>22</v>
      </c>
      <c r="D68" s="74">
        <f>SUM(J68,L68,N68,P68,R68,T68,V68,X68,Z68,AB68,AD68,AF68)</f>
        <v>0</v>
      </c>
      <c r="E68" s="62">
        <f>J68</f>
        <v>0</v>
      </c>
      <c r="F68" s="62">
        <f>G68</f>
        <v>0</v>
      </c>
      <c r="G68" s="62">
        <f>SUM(K68,M68,O68,Q68,S68,U68,W68,Y68,AA68,AC68,AE68,AG68)</f>
        <v>0</v>
      </c>
      <c r="H68" s="62">
        <f>IFERROR(G68/D68*100,0)</f>
        <v>0</v>
      </c>
      <c r="I68" s="62">
        <f>IFERROR(G68/E68*100,0)</f>
        <v>0</v>
      </c>
      <c r="J68" s="63">
        <v>0</v>
      </c>
      <c r="K68" s="63">
        <v>0</v>
      </c>
      <c r="L68" s="63">
        <v>0</v>
      </c>
      <c r="M68" s="63">
        <v>0</v>
      </c>
      <c r="N68" s="63">
        <v>0</v>
      </c>
      <c r="O68" s="63">
        <v>0</v>
      </c>
      <c r="P68" s="63">
        <v>0</v>
      </c>
      <c r="Q68" s="63">
        <v>0</v>
      </c>
      <c r="R68" s="63">
        <v>0</v>
      </c>
      <c r="S68" s="63">
        <v>0</v>
      </c>
      <c r="T68" s="63">
        <v>0</v>
      </c>
      <c r="U68" s="63">
        <v>0</v>
      </c>
      <c r="V68" s="63">
        <v>0</v>
      </c>
      <c r="W68" s="63">
        <v>0</v>
      </c>
      <c r="X68" s="63">
        <v>0</v>
      </c>
      <c r="Y68" s="63">
        <v>0</v>
      </c>
      <c r="Z68" s="63">
        <v>0</v>
      </c>
      <c r="AA68" s="63">
        <v>0</v>
      </c>
      <c r="AB68" s="63">
        <v>0</v>
      </c>
      <c r="AC68" s="63">
        <v>0</v>
      </c>
      <c r="AD68" s="63">
        <v>0</v>
      </c>
      <c r="AE68" s="63">
        <v>0</v>
      </c>
      <c r="AF68" s="63">
        <v>0</v>
      </c>
      <c r="AG68" s="63">
        <v>0</v>
      </c>
      <c r="AH68" s="320"/>
      <c r="AI68" s="20"/>
    </row>
    <row r="69" spans="1:35" s="22" customFormat="1" ht="75.75" customHeight="1" x14ac:dyDescent="0.3">
      <c r="A69" s="375"/>
      <c r="B69" s="401"/>
      <c r="C69" s="126" t="s">
        <v>21</v>
      </c>
      <c r="D69" s="74">
        <f>SUM(J69,L69,N69,P69,R69,T69,V69,X69,Z69,AB69,AD69,AF69)</f>
        <v>8991.7999999999993</v>
      </c>
      <c r="E69" s="62">
        <f>J69</f>
        <v>8991.7999999999993</v>
      </c>
      <c r="F69" s="62">
        <f>G69</f>
        <v>8991.7999999999993</v>
      </c>
      <c r="G69" s="62">
        <f t="shared" ref="G69:G71" si="90">SUM(K69,M69,O69,Q69,S69,U69,W69,Y69,AA69,AC69,AE69,AG69)</f>
        <v>8991.7999999999993</v>
      </c>
      <c r="H69" s="62">
        <f>IFERROR(G69/D69*100,0)</f>
        <v>100</v>
      </c>
      <c r="I69" s="62">
        <f>IFERROR(G69/E69*100,0)</f>
        <v>100</v>
      </c>
      <c r="J69" s="63">
        <f>J71+J73</f>
        <v>8991.7999999999993</v>
      </c>
      <c r="K69" s="63">
        <f t="shared" ref="K69:AG69" si="91">K71+K73</f>
        <v>8991.7999999999993</v>
      </c>
      <c r="L69" s="63">
        <f t="shared" si="91"/>
        <v>0</v>
      </c>
      <c r="M69" s="63">
        <f t="shared" si="91"/>
        <v>0</v>
      </c>
      <c r="N69" s="63">
        <f t="shared" si="91"/>
        <v>0</v>
      </c>
      <c r="O69" s="63">
        <f t="shared" si="91"/>
        <v>0</v>
      </c>
      <c r="P69" s="63">
        <f t="shared" si="91"/>
        <v>0</v>
      </c>
      <c r="Q69" s="63">
        <f t="shared" si="91"/>
        <v>0</v>
      </c>
      <c r="R69" s="63">
        <f t="shared" si="91"/>
        <v>0</v>
      </c>
      <c r="S69" s="63">
        <f t="shared" si="91"/>
        <v>0</v>
      </c>
      <c r="T69" s="63">
        <f t="shared" si="91"/>
        <v>0</v>
      </c>
      <c r="U69" s="63">
        <f t="shared" si="91"/>
        <v>0</v>
      </c>
      <c r="V69" s="63">
        <f t="shared" si="91"/>
        <v>0</v>
      </c>
      <c r="W69" s="63">
        <f t="shared" si="91"/>
        <v>0</v>
      </c>
      <c r="X69" s="63">
        <f t="shared" si="91"/>
        <v>0</v>
      </c>
      <c r="Y69" s="63">
        <f t="shared" si="91"/>
        <v>0</v>
      </c>
      <c r="Z69" s="63">
        <f t="shared" si="91"/>
        <v>0</v>
      </c>
      <c r="AA69" s="63">
        <f t="shared" si="91"/>
        <v>0</v>
      </c>
      <c r="AB69" s="63">
        <f t="shared" si="91"/>
        <v>0</v>
      </c>
      <c r="AC69" s="63">
        <f t="shared" si="91"/>
        <v>0</v>
      </c>
      <c r="AD69" s="63">
        <f t="shared" si="91"/>
        <v>0</v>
      </c>
      <c r="AE69" s="63">
        <f t="shared" si="91"/>
        <v>0</v>
      </c>
      <c r="AF69" s="63">
        <f t="shared" si="91"/>
        <v>0</v>
      </c>
      <c r="AG69" s="63">
        <f t="shared" si="91"/>
        <v>0</v>
      </c>
      <c r="AH69" s="297"/>
      <c r="AI69" s="20"/>
    </row>
    <row r="70" spans="1:35" s="22" customFormat="1" ht="63.75" customHeight="1" x14ac:dyDescent="0.25">
      <c r="A70" s="116"/>
      <c r="B70" s="391" t="s">
        <v>135</v>
      </c>
      <c r="C70" s="125" t="s">
        <v>20</v>
      </c>
      <c r="D70" s="74">
        <f t="shared" ref="D70:AG70" si="92">D71</f>
        <v>8869.2999999999993</v>
      </c>
      <c r="E70" s="62">
        <f t="shared" si="92"/>
        <v>8869.2999999999993</v>
      </c>
      <c r="F70" s="62">
        <f t="shared" ref="F70:F73" si="93">G70</f>
        <v>8869.2999999999993</v>
      </c>
      <c r="G70" s="62">
        <f>G71</f>
        <v>8869.2999999999993</v>
      </c>
      <c r="H70" s="62">
        <f t="shared" ref="H70:H74" si="94">IFERROR(G70/D70*100,0)</f>
        <v>100</v>
      </c>
      <c r="I70" s="62">
        <f t="shared" ref="I70:I74" si="95">IFERROR(G70/E70*100,0)</f>
        <v>100</v>
      </c>
      <c r="J70" s="62">
        <f t="shared" si="92"/>
        <v>8869.2999999999993</v>
      </c>
      <c r="K70" s="62">
        <f t="shared" si="92"/>
        <v>8869.2999999999993</v>
      </c>
      <c r="L70" s="62">
        <f t="shared" si="92"/>
        <v>0</v>
      </c>
      <c r="M70" s="62">
        <f t="shared" si="92"/>
        <v>0</v>
      </c>
      <c r="N70" s="62">
        <f t="shared" si="92"/>
        <v>0</v>
      </c>
      <c r="O70" s="62">
        <f t="shared" si="92"/>
        <v>0</v>
      </c>
      <c r="P70" s="62">
        <f t="shared" si="92"/>
        <v>0</v>
      </c>
      <c r="Q70" s="62">
        <f t="shared" si="92"/>
        <v>0</v>
      </c>
      <c r="R70" s="62">
        <f t="shared" si="92"/>
        <v>0</v>
      </c>
      <c r="S70" s="62">
        <f t="shared" si="92"/>
        <v>0</v>
      </c>
      <c r="T70" s="62">
        <f t="shared" si="92"/>
        <v>0</v>
      </c>
      <c r="U70" s="62">
        <f t="shared" si="92"/>
        <v>0</v>
      </c>
      <c r="V70" s="62">
        <f t="shared" si="92"/>
        <v>0</v>
      </c>
      <c r="W70" s="62">
        <f t="shared" si="92"/>
        <v>0</v>
      </c>
      <c r="X70" s="62">
        <f t="shared" si="92"/>
        <v>0</v>
      </c>
      <c r="Y70" s="62">
        <f t="shared" si="92"/>
        <v>0</v>
      </c>
      <c r="Z70" s="62">
        <f t="shared" si="92"/>
        <v>0</v>
      </c>
      <c r="AA70" s="62">
        <f t="shared" si="92"/>
        <v>0</v>
      </c>
      <c r="AB70" s="62">
        <f t="shared" si="92"/>
        <v>0</v>
      </c>
      <c r="AC70" s="62">
        <f t="shared" si="92"/>
        <v>0</v>
      </c>
      <c r="AD70" s="62">
        <f t="shared" si="92"/>
        <v>0</v>
      </c>
      <c r="AE70" s="62">
        <f t="shared" si="92"/>
        <v>0</v>
      </c>
      <c r="AF70" s="62">
        <f t="shared" si="92"/>
        <v>0</v>
      </c>
      <c r="AG70" s="62">
        <f t="shared" si="92"/>
        <v>0</v>
      </c>
      <c r="AH70" s="60"/>
      <c r="AI70" s="20"/>
    </row>
    <row r="71" spans="1:35" s="22" customFormat="1" ht="57" customHeight="1" x14ac:dyDescent="0.25">
      <c r="A71" s="116"/>
      <c r="B71" s="391"/>
      <c r="C71" s="126" t="s">
        <v>21</v>
      </c>
      <c r="D71" s="74">
        <f t="shared" ref="D71" si="96">SUM(J71,L71,N71,P71,R71,T71,V71,X71,Z71,AB71,AD71,AF71)</f>
        <v>8869.2999999999993</v>
      </c>
      <c r="E71" s="62">
        <f t="shared" ref="E71" si="97">J71</f>
        <v>8869.2999999999993</v>
      </c>
      <c r="F71" s="62">
        <f t="shared" si="93"/>
        <v>8869.2999999999993</v>
      </c>
      <c r="G71" s="62">
        <f t="shared" si="90"/>
        <v>8869.2999999999993</v>
      </c>
      <c r="H71" s="62">
        <f t="shared" si="94"/>
        <v>100</v>
      </c>
      <c r="I71" s="62">
        <f t="shared" si="95"/>
        <v>100</v>
      </c>
      <c r="J71" s="63">
        <v>8869.2999999999993</v>
      </c>
      <c r="K71" s="63">
        <v>8869.2999999999993</v>
      </c>
      <c r="L71" s="63">
        <v>0</v>
      </c>
      <c r="M71" s="63">
        <v>0</v>
      </c>
      <c r="N71" s="63">
        <v>0</v>
      </c>
      <c r="O71" s="63">
        <v>0</v>
      </c>
      <c r="P71" s="63">
        <v>0</v>
      </c>
      <c r="Q71" s="63">
        <v>0</v>
      </c>
      <c r="R71" s="63">
        <v>0</v>
      </c>
      <c r="S71" s="63">
        <v>0</v>
      </c>
      <c r="T71" s="63">
        <v>0</v>
      </c>
      <c r="U71" s="63">
        <v>0</v>
      </c>
      <c r="V71" s="63">
        <v>0</v>
      </c>
      <c r="W71" s="63">
        <v>0</v>
      </c>
      <c r="X71" s="63">
        <v>0</v>
      </c>
      <c r="Y71" s="63">
        <v>0</v>
      </c>
      <c r="Z71" s="63">
        <v>0</v>
      </c>
      <c r="AA71" s="63">
        <v>0</v>
      </c>
      <c r="AB71" s="63">
        <v>0</v>
      </c>
      <c r="AC71" s="63">
        <v>0</v>
      </c>
      <c r="AD71" s="63">
        <v>0</v>
      </c>
      <c r="AE71" s="63">
        <v>0</v>
      </c>
      <c r="AF71" s="63">
        <v>0</v>
      </c>
      <c r="AG71" s="63">
        <v>0</v>
      </c>
      <c r="AH71" s="60"/>
      <c r="AI71" s="20"/>
    </row>
    <row r="72" spans="1:35" s="22" customFormat="1" ht="56.25" customHeight="1" x14ac:dyDescent="0.25">
      <c r="A72" s="116"/>
      <c r="B72" s="391" t="s">
        <v>136</v>
      </c>
      <c r="C72" s="125" t="s">
        <v>20</v>
      </c>
      <c r="D72" s="74">
        <f t="shared" ref="D72:E72" si="98">D73</f>
        <v>122.5</v>
      </c>
      <c r="E72" s="62">
        <f t="shared" si="98"/>
        <v>122.5</v>
      </c>
      <c r="F72" s="62">
        <f t="shared" si="93"/>
        <v>122.5</v>
      </c>
      <c r="G72" s="62">
        <f>G73</f>
        <v>122.5</v>
      </c>
      <c r="H72" s="62">
        <f t="shared" si="94"/>
        <v>100</v>
      </c>
      <c r="I72" s="62">
        <f t="shared" si="95"/>
        <v>100</v>
      </c>
      <c r="J72" s="62">
        <f t="shared" ref="J72:AG72" si="99">J73</f>
        <v>122.5</v>
      </c>
      <c r="K72" s="62">
        <f t="shared" si="99"/>
        <v>122.5</v>
      </c>
      <c r="L72" s="62">
        <f t="shared" si="99"/>
        <v>0</v>
      </c>
      <c r="M72" s="62">
        <f t="shared" si="99"/>
        <v>0</v>
      </c>
      <c r="N72" s="62">
        <f t="shared" si="99"/>
        <v>0</v>
      </c>
      <c r="O72" s="62">
        <f t="shared" si="99"/>
        <v>0</v>
      </c>
      <c r="P72" s="62">
        <f t="shared" si="99"/>
        <v>0</v>
      </c>
      <c r="Q72" s="62">
        <f t="shared" si="99"/>
        <v>0</v>
      </c>
      <c r="R72" s="62">
        <f t="shared" si="99"/>
        <v>0</v>
      </c>
      <c r="S72" s="62">
        <f t="shared" si="99"/>
        <v>0</v>
      </c>
      <c r="T72" s="62">
        <f t="shared" si="99"/>
        <v>0</v>
      </c>
      <c r="U72" s="62">
        <f t="shared" si="99"/>
        <v>0</v>
      </c>
      <c r="V72" s="62">
        <f t="shared" si="99"/>
        <v>0</v>
      </c>
      <c r="W72" s="62">
        <f t="shared" si="99"/>
        <v>0</v>
      </c>
      <c r="X72" s="62">
        <f t="shared" si="99"/>
        <v>0</v>
      </c>
      <c r="Y72" s="62">
        <f t="shared" si="99"/>
        <v>0</v>
      </c>
      <c r="Z72" s="62">
        <f t="shared" si="99"/>
        <v>0</v>
      </c>
      <c r="AA72" s="62">
        <f t="shared" si="99"/>
        <v>0</v>
      </c>
      <c r="AB72" s="62">
        <f t="shared" si="99"/>
        <v>0</v>
      </c>
      <c r="AC72" s="62">
        <f t="shared" si="99"/>
        <v>0</v>
      </c>
      <c r="AD72" s="62">
        <f t="shared" si="99"/>
        <v>0</v>
      </c>
      <c r="AE72" s="62">
        <f t="shared" si="99"/>
        <v>0</v>
      </c>
      <c r="AF72" s="62">
        <f t="shared" si="99"/>
        <v>0</v>
      </c>
      <c r="AG72" s="62">
        <f t="shared" si="99"/>
        <v>0</v>
      </c>
      <c r="AH72" s="60"/>
      <c r="AI72" s="20"/>
    </row>
    <row r="73" spans="1:35" s="22" customFormat="1" ht="41.25" customHeight="1" x14ac:dyDescent="0.25">
      <c r="A73" s="116"/>
      <c r="B73" s="391"/>
      <c r="C73" s="126" t="s">
        <v>21</v>
      </c>
      <c r="D73" s="74">
        <f t="shared" ref="D73" si="100">SUM(J73,L73,N73,P73,R73,T73,V73,X73,Z73,AB73,AD73,AF73)</f>
        <v>122.5</v>
      </c>
      <c r="E73" s="62">
        <f t="shared" ref="E73" si="101">J73</f>
        <v>122.5</v>
      </c>
      <c r="F73" s="62">
        <f t="shared" si="93"/>
        <v>122.5</v>
      </c>
      <c r="G73" s="62">
        <f t="shared" ref="G73" si="102">SUM(K73,M73,O73,Q73,S73,U73,W73,Y73,AA73,AC73,AE73,AG73)</f>
        <v>122.5</v>
      </c>
      <c r="H73" s="62">
        <f t="shared" si="94"/>
        <v>100</v>
      </c>
      <c r="I73" s="62">
        <f t="shared" si="95"/>
        <v>100</v>
      </c>
      <c r="J73" s="63">
        <v>122.5</v>
      </c>
      <c r="K73" s="63">
        <v>122.5</v>
      </c>
      <c r="L73" s="63">
        <v>0</v>
      </c>
      <c r="M73" s="63">
        <v>0</v>
      </c>
      <c r="N73" s="63">
        <v>0</v>
      </c>
      <c r="O73" s="63">
        <v>0</v>
      </c>
      <c r="P73" s="63">
        <v>0</v>
      </c>
      <c r="Q73" s="63">
        <v>0</v>
      </c>
      <c r="R73" s="63">
        <v>0</v>
      </c>
      <c r="S73" s="63">
        <v>0</v>
      </c>
      <c r="T73" s="63">
        <v>0</v>
      </c>
      <c r="U73" s="63">
        <v>0</v>
      </c>
      <c r="V73" s="63">
        <v>0</v>
      </c>
      <c r="W73" s="63">
        <v>0</v>
      </c>
      <c r="X73" s="63">
        <v>0</v>
      </c>
      <c r="Y73" s="63">
        <v>0</v>
      </c>
      <c r="Z73" s="63">
        <v>0</v>
      </c>
      <c r="AA73" s="63">
        <v>0</v>
      </c>
      <c r="AB73" s="63">
        <v>0</v>
      </c>
      <c r="AC73" s="63">
        <v>0</v>
      </c>
      <c r="AD73" s="63">
        <v>0</v>
      </c>
      <c r="AE73" s="63">
        <v>0</v>
      </c>
      <c r="AF73" s="63">
        <v>0</v>
      </c>
      <c r="AG73" s="63">
        <v>0</v>
      </c>
      <c r="AH73" s="60"/>
      <c r="AI73" s="20"/>
    </row>
    <row r="74" spans="1:35" s="22" customFormat="1" ht="38.25" customHeight="1" x14ac:dyDescent="0.25">
      <c r="A74" s="373"/>
      <c r="B74" s="389" t="s">
        <v>137</v>
      </c>
      <c r="C74" s="125" t="s">
        <v>20</v>
      </c>
      <c r="D74" s="70">
        <f>D76+D75</f>
        <v>19144.7</v>
      </c>
      <c r="E74" s="58">
        <f>E76+E75</f>
        <v>7926.8349999999991</v>
      </c>
      <c r="F74" s="58">
        <f>F76+F75</f>
        <v>8591.34</v>
      </c>
      <c r="G74" s="58">
        <f>G76+G75</f>
        <v>4252.3869999999997</v>
      </c>
      <c r="H74" s="58">
        <f t="shared" si="94"/>
        <v>22.211823637873664</v>
      </c>
      <c r="I74" s="58">
        <f t="shared" si="95"/>
        <v>53.645458748668297</v>
      </c>
      <c r="J74" s="59">
        <f t="shared" ref="J74:AG74" si="103">J76+J75</f>
        <v>3313.4</v>
      </c>
      <c r="K74" s="59">
        <f t="shared" si="103"/>
        <v>1115.028</v>
      </c>
      <c r="L74" s="59">
        <f t="shared" si="103"/>
        <v>3192.625</v>
      </c>
      <c r="M74" s="59">
        <f t="shared" si="103"/>
        <v>2472.8589999999999</v>
      </c>
      <c r="N74" s="59">
        <f t="shared" si="103"/>
        <v>1420.81</v>
      </c>
      <c r="O74" s="59">
        <f t="shared" si="103"/>
        <v>0</v>
      </c>
      <c r="P74" s="59">
        <f t="shared" si="103"/>
        <v>8380.4399999999987</v>
      </c>
      <c r="Q74" s="59">
        <f t="shared" si="103"/>
        <v>664.5</v>
      </c>
      <c r="R74" s="59">
        <f t="shared" si="103"/>
        <v>1958.8</v>
      </c>
      <c r="S74" s="59">
        <f t="shared" si="103"/>
        <v>0</v>
      </c>
      <c r="T74" s="59">
        <f t="shared" si="103"/>
        <v>0</v>
      </c>
      <c r="U74" s="59">
        <f t="shared" si="103"/>
        <v>0</v>
      </c>
      <c r="V74" s="59">
        <f t="shared" si="103"/>
        <v>0</v>
      </c>
      <c r="W74" s="59">
        <f t="shared" si="103"/>
        <v>0</v>
      </c>
      <c r="X74" s="59">
        <f t="shared" si="103"/>
        <v>574.4</v>
      </c>
      <c r="Y74" s="59">
        <f t="shared" si="103"/>
        <v>0</v>
      </c>
      <c r="Z74" s="59">
        <f t="shared" si="103"/>
        <v>27.524999999999999</v>
      </c>
      <c r="AA74" s="59">
        <f t="shared" si="103"/>
        <v>0</v>
      </c>
      <c r="AB74" s="59">
        <f t="shared" si="103"/>
        <v>148</v>
      </c>
      <c r="AC74" s="59">
        <f t="shared" si="103"/>
        <v>0</v>
      </c>
      <c r="AD74" s="59">
        <f t="shared" si="103"/>
        <v>0</v>
      </c>
      <c r="AE74" s="59">
        <f t="shared" si="103"/>
        <v>0</v>
      </c>
      <c r="AF74" s="59">
        <f t="shared" si="103"/>
        <v>128.69999999999999</v>
      </c>
      <c r="AG74" s="59">
        <f t="shared" si="103"/>
        <v>0</v>
      </c>
      <c r="AH74" s="60"/>
      <c r="AI74" s="20"/>
    </row>
    <row r="75" spans="1:35" s="22" customFormat="1" ht="44.25" hidden="1" customHeight="1" x14ac:dyDescent="0.25">
      <c r="A75" s="374"/>
      <c r="B75" s="390"/>
      <c r="C75" s="126" t="s">
        <v>22</v>
      </c>
      <c r="D75" s="74">
        <f>SUM(J75,L75,N75,P75,R75,T75,V75,X75,Z75,AB75,AD75,AF75)</f>
        <v>1203.3</v>
      </c>
      <c r="E75" s="62">
        <f>J75+L75+N75</f>
        <v>0</v>
      </c>
      <c r="F75" s="62">
        <f>G75</f>
        <v>664.5</v>
      </c>
      <c r="G75" s="62">
        <f>SUM(K75,M75,O75,Q75,S75,U75,W75,Y75,AA75,AC75,AE75,AG75)</f>
        <v>664.5</v>
      </c>
      <c r="H75" s="62">
        <f>IFERROR(G75/D75*100,0)</f>
        <v>55.223136374968838</v>
      </c>
      <c r="I75" s="62">
        <f>IFERROR(G75/E75*100,0)</f>
        <v>0</v>
      </c>
      <c r="J75" s="63">
        <v>0</v>
      </c>
      <c r="K75" s="63">
        <v>0</v>
      </c>
      <c r="L75" s="63">
        <v>0</v>
      </c>
      <c r="M75" s="63">
        <v>0</v>
      </c>
      <c r="N75" s="63">
        <v>0</v>
      </c>
      <c r="O75" s="63">
        <v>0</v>
      </c>
      <c r="P75" s="63">
        <v>664.5</v>
      </c>
      <c r="Q75" s="63">
        <v>664.5</v>
      </c>
      <c r="R75" s="63">
        <v>538.79999999999995</v>
      </c>
      <c r="S75" s="63">
        <v>0</v>
      </c>
      <c r="T75" s="63">
        <v>0</v>
      </c>
      <c r="U75" s="63">
        <v>0</v>
      </c>
      <c r="V75" s="63">
        <v>0</v>
      </c>
      <c r="W75" s="63">
        <v>0</v>
      </c>
      <c r="X75" s="63">
        <v>0</v>
      </c>
      <c r="Y75" s="63">
        <v>0</v>
      </c>
      <c r="Z75" s="63">
        <v>0</v>
      </c>
      <c r="AA75" s="63">
        <v>0</v>
      </c>
      <c r="AB75" s="63">
        <v>0</v>
      </c>
      <c r="AC75" s="63">
        <v>0</v>
      </c>
      <c r="AD75" s="63">
        <v>0</v>
      </c>
      <c r="AE75" s="63">
        <v>0</v>
      </c>
      <c r="AF75" s="63">
        <v>0</v>
      </c>
      <c r="AG75" s="63">
        <v>0</v>
      </c>
      <c r="AH75" s="63"/>
      <c r="AI75" s="20"/>
    </row>
    <row r="76" spans="1:35" s="22" customFormat="1" ht="75.75" customHeight="1" x14ac:dyDescent="0.25">
      <c r="A76" s="375"/>
      <c r="B76" s="390"/>
      <c r="C76" s="126" t="s">
        <v>21</v>
      </c>
      <c r="D76" s="74">
        <f>SUM(J76,L76,N76,P76,R76,T76,V76,X76,Z76,AB76,AD76,AF76)</f>
        <v>17941.400000000001</v>
      </c>
      <c r="E76" s="62">
        <f>J76+L76+N76</f>
        <v>7926.8349999999991</v>
      </c>
      <c r="F76" s="62">
        <v>7926.84</v>
      </c>
      <c r="G76" s="62">
        <f>SUM(K76,M76,O76,Q76,S76,U76,W76,Y76,AA76,AC76,AE76,AG76)</f>
        <v>3587.8869999999997</v>
      </c>
      <c r="H76" s="62">
        <f>IFERROR(G76/D76*100,0)</f>
        <v>19.99780953548775</v>
      </c>
      <c r="I76" s="62">
        <f>IFERROR(G76/E76*100,0)</f>
        <v>45.262541733239054</v>
      </c>
      <c r="J76" s="63">
        <v>3313.4</v>
      </c>
      <c r="K76" s="63">
        <v>1115.028</v>
      </c>
      <c r="L76" s="63">
        <v>3192.625</v>
      </c>
      <c r="M76" s="63">
        <v>2472.8589999999999</v>
      </c>
      <c r="N76" s="63">
        <v>1420.81</v>
      </c>
      <c r="O76" s="63">
        <v>0</v>
      </c>
      <c r="P76" s="63">
        <v>7715.94</v>
      </c>
      <c r="Q76" s="63">
        <v>0</v>
      </c>
      <c r="R76" s="63">
        <v>1420</v>
      </c>
      <c r="S76" s="63">
        <v>0</v>
      </c>
      <c r="T76" s="63">
        <v>0</v>
      </c>
      <c r="U76" s="63">
        <v>0</v>
      </c>
      <c r="V76" s="63">
        <v>0</v>
      </c>
      <c r="W76" s="63">
        <v>0</v>
      </c>
      <c r="X76" s="63">
        <v>574.4</v>
      </c>
      <c r="Y76" s="63">
        <v>0</v>
      </c>
      <c r="Z76" s="63">
        <v>27.524999999999999</v>
      </c>
      <c r="AA76" s="63">
        <v>0</v>
      </c>
      <c r="AB76" s="63">
        <v>148</v>
      </c>
      <c r="AC76" s="63">
        <v>0</v>
      </c>
      <c r="AD76" s="63">
        <v>0</v>
      </c>
      <c r="AE76" s="63">
        <v>0</v>
      </c>
      <c r="AF76" s="63">
        <v>128.69999999999999</v>
      </c>
      <c r="AG76" s="63">
        <v>0</v>
      </c>
      <c r="AH76" s="324"/>
      <c r="AI76" s="20"/>
    </row>
    <row r="77" spans="1:35" s="22" customFormat="1" ht="23.25" customHeight="1" x14ac:dyDescent="0.25">
      <c r="A77" s="379" t="s">
        <v>51</v>
      </c>
      <c r="B77" s="376" t="s">
        <v>138</v>
      </c>
      <c r="C77" s="126" t="s">
        <v>20</v>
      </c>
      <c r="D77" s="74">
        <f>D79+D78</f>
        <v>188361.87600000002</v>
      </c>
      <c r="E77" s="62">
        <f t="shared" ref="E77:G77" si="104">E79+E78</f>
        <v>14536.495999999999</v>
      </c>
      <c r="F77" s="62">
        <f t="shared" si="104"/>
        <v>19230.260000000002</v>
      </c>
      <c r="G77" s="62">
        <f t="shared" si="104"/>
        <v>19230.260000000002</v>
      </c>
      <c r="H77" s="62">
        <f t="shared" ref="H77" si="105">IFERROR(G77/D77*100,0)</f>
        <v>10.209210275650472</v>
      </c>
      <c r="I77" s="62">
        <f t="shared" ref="I77" si="106">IFERROR(G77/E77*100,0)</f>
        <v>132.28951461204957</v>
      </c>
      <c r="J77" s="63">
        <f>J79+J78</f>
        <v>14536.495999999999</v>
      </c>
      <c r="K77" s="63">
        <f t="shared" ref="K77:AG77" si="107">K79+K78</f>
        <v>3226.8</v>
      </c>
      <c r="L77" s="63">
        <f t="shared" si="107"/>
        <v>11470.393999999998</v>
      </c>
      <c r="M77" s="63">
        <f t="shared" si="107"/>
        <v>16003.460000000001</v>
      </c>
      <c r="N77" s="63">
        <f t="shared" si="107"/>
        <v>12827.110999999999</v>
      </c>
      <c r="O77" s="63">
        <f t="shared" si="107"/>
        <v>0</v>
      </c>
      <c r="P77" s="63">
        <f t="shared" si="107"/>
        <v>20736.489999999998</v>
      </c>
      <c r="Q77" s="63">
        <f t="shared" si="107"/>
        <v>0</v>
      </c>
      <c r="R77" s="63">
        <f t="shared" si="107"/>
        <v>27670.244999999999</v>
      </c>
      <c r="S77" s="63">
        <f t="shared" si="107"/>
        <v>0</v>
      </c>
      <c r="T77" s="63">
        <f t="shared" si="107"/>
        <v>27173.513999999999</v>
      </c>
      <c r="U77" s="63">
        <f t="shared" si="107"/>
        <v>0</v>
      </c>
      <c r="V77" s="63">
        <f t="shared" si="107"/>
        <v>12528.076999999999</v>
      </c>
      <c r="W77" s="63">
        <f t="shared" si="107"/>
        <v>0</v>
      </c>
      <c r="X77" s="63">
        <f t="shared" si="107"/>
        <v>8229.8359999999993</v>
      </c>
      <c r="Y77" s="63">
        <f t="shared" si="107"/>
        <v>0</v>
      </c>
      <c r="Z77" s="63">
        <f t="shared" si="107"/>
        <v>8263.9889999999996</v>
      </c>
      <c r="AA77" s="63">
        <f t="shared" si="107"/>
        <v>0</v>
      </c>
      <c r="AB77" s="63">
        <f t="shared" si="107"/>
        <v>18063.710999999999</v>
      </c>
      <c r="AC77" s="63">
        <f t="shared" si="107"/>
        <v>0</v>
      </c>
      <c r="AD77" s="63">
        <f t="shared" si="107"/>
        <v>11031.681999999999</v>
      </c>
      <c r="AE77" s="63">
        <f t="shared" si="107"/>
        <v>0</v>
      </c>
      <c r="AF77" s="63">
        <f t="shared" si="107"/>
        <v>15830.331</v>
      </c>
      <c r="AG77" s="63">
        <f t="shared" si="107"/>
        <v>0</v>
      </c>
      <c r="AH77" s="341"/>
      <c r="AI77" s="20"/>
    </row>
    <row r="78" spans="1:35" s="22" customFormat="1" ht="45" customHeight="1" x14ac:dyDescent="0.25">
      <c r="A78" s="380"/>
      <c r="B78" s="377"/>
      <c r="C78" s="126" t="s">
        <v>21</v>
      </c>
      <c r="D78" s="74">
        <f>SUM(J78,L78,N78,P78,R78,T78,V78,X78,Z78,AB78,AD78,AF78)</f>
        <v>184417.89600000001</v>
      </c>
      <c r="E78" s="62">
        <f>J78</f>
        <v>14071.286</v>
      </c>
      <c r="F78" s="62">
        <f>G78</f>
        <v>18735.95</v>
      </c>
      <c r="G78" s="62">
        <f>SUM(K78,M78,O78,Q78,S78,U78,W78,Y78,AA78,AC78,AE78,AG78)</f>
        <v>18735.95</v>
      </c>
      <c r="H78" s="62">
        <f>IFERROR(G78/D78*100,0)</f>
        <v>10.159507513305542</v>
      </c>
      <c r="I78" s="62">
        <f>IFERROR(G78/E78*100,0)</f>
        <v>133.15023232418133</v>
      </c>
      <c r="J78" s="63">
        <v>14071.286</v>
      </c>
      <c r="K78" s="63">
        <v>3101.25</v>
      </c>
      <c r="L78" s="63">
        <v>10998.183999999999</v>
      </c>
      <c r="M78" s="63">
        <v>15634.7</v>
      </c>
      <c r="N78" s="63">
        <v>12361.901</v>
      </c>
      <c r="O78" s="63">
        <v>0</v>
      </c>
      <c r="P78" s="63">
        <v>20271.78</v>
      </c>
      <c r="Q78" s="63">
        <v>0</v>
      </c>
      <c r="R78" s="63">
        <v>26845.493999999999</v>
      </c>
      <c r="S78" s="63">
        <v>0</v>
      </c>
      <c r="T78" s="63">
        <v>27173.513999999999</v>
      </c>
      <c r="U78" s="63">
        <v>0</v>
      </c>
      <c r="V78" s="63">
        <v>12528.076999999999</v>
      </c>
      <c r="W78" s="63">
        <v>0</v>
      </c>
      <c r="X78" s="63">
        <v>8229.8359999999993</v>
      </c>
      <c r="Y78" s="63">
        <v>0</v>
      </c>
      <c r="Z78" s="63">
        <v>7800.7790000000005</v>
      </c>
      <c r="AA78" s="63">
        <v>0</v>
      </c>
      <c r="AB78" s="63">
        <v>17600.501</v>
      </c>
      <c r="AC78" s="63">
        <v>0</v>
      </c>
      <c r="AD78" s="63">
        <v>10874.441999999999</v>
      </c>
      <c r="AE78" s="63">
        <v>0</v>
      </c>
      <c r="AF78" s="63">
        <v>15662.102000000001</v>
      </c>
      <c r="AG78" s="63">
        <v>0</v>
      </c>
      <c r="AH78" s="64"/>
      <c r="AI78" s="20"/>
    </row>
    <row r="79" spans="1:35" s="22" customFormat="1" ht="61.5" customHeight="1" x14ac:dyDescent="0.25">
      <c r="A79" s="374"/>
      <c r="B79" s="377"/>
      <c r="C79" s="126" t="s">
        <v>114</v>
      </c>
      <c r="D79" s="74">
        <f>SUM(J79,L79,N79,P79,R79,T79,V79,X79,Z79,AB79,AD79,AF79)</f>
        <v>3943.98</v>
      </c>
      <c r="E79" s="62">
        <f>J79</f>
        <v>465.21</v>
      </c>
      <c r="F79" s="62">
        <f>G79</f>
        <v>494.31</v>
      </c>
      <c r="G79" s="62">
        <f>SUM(K79,M79,O79,Q79,S79,U79,W79,Y79,AA79,AC79,AE79,AG79)</f>
        <v>494.31</v>
      </c>
      <c r="H79" s="62">
        <f>IFERROR(G79/D79*100,0)</f>
        <v>12.533278566321329</v>
      </c>
      <c r="I79" s="62">
        <f>IFERROR(G79/E79*100,0)</f>
        <v>106.2552395692268</v>
      </c>
      <c r="J79" s="63">
        <v>465.21</v>
      </c>
      <c r="K79" s="63">
        <v>125.55</v>
      </c>
      <c r="L79" s="63">
        <v>472.21</v>
      </c>
      <c r="M79" s="63">
        <v>368.76</v>
      </c>
      <c r="N79" s="63">
        <v>465.21</v>
      </c>
      <c r="O79" s="63">
        <v>0</v>
      </c>
      <c r="P79" s="63">
        <v>464.71</v>
      </c>
      <c r="Q79" s="63">
        <v>0</v>
      </c>
      <c r="R79" s="63">
        <v>824.75099999999998</v>
      </c>
      <c r="S79" s="63">
        <v>0</v>
      </c>
      <c r="T79" s="63">
        <v>0</v>
      </c>
      <c r="U79" s="63">
        <v>0</v>
      </c>
      <c r="V79" s="63">
        <v>0</v>
      </c>
      <c r="W79" s="63">
        <v>0</v>
      </c>
      <c r="X79" s="63">
        <v>0</v>
      </c>
      <c r="Y79" s="63">
        <v>0</v>
      </c>
      <c r="Z79" s="63">
        <v>463.21</v>
      </c>
      <c r="AA79" s="63">
        <v>0</v>
      </c>
      <c r="AB79" s="63">
        <v>463.21</v>
      </c>
      <c r="AC79" s="63">
        <v>0</v>
      </c>
      <c r="AD79" s="63">
        <v>157.24</v>
      </c>
      <c r="AE79" s="63">
        <v>0</v>
      </c>
      <c r="AF79" s="63">
        <v>168.22900000000001</v>
      </c>
      <c r="AG79" s="63">
        <v>0</v>
      </c>
      <c r="AH79" s="64"/>
      <c r="AI79" s="20"/>
    </row>
    <row r="80" spans="1:35" s="22" customFormat="1" ht="56.25" customHeight="1" x14ac:dyDescent="0.25">
      <c r="A80" s="374" t="s">
        <v>139</v>
      </c>
      <c r="B80" s="376" t="s">
        <v>140</v>
      </c>
      <c r="C80" s="125" t="s">
        <v>20</v>
      </c>
      <c r="D80" s="74">
        <f t="shared" ref="D80:E80" si="108">D81</f>
        <v>4014.2999999999997</v>
      </c>
      <c r="E80" s="62">
        <f t="shared" si="108"/>
        <v>927</v>
      </c>
      <c r="F80" s="62">
        <f t="shared" ref="F80:F81" si="109">G80</f>
        <v>140.267</v>
      </c>
      <c r="G80" s="62">
        <f>G81</f>
        <v>140.267</v>
      </c>
      <c r="H80" s="62">
        <f t="shared" ref="H80:H93" si="110">IFERROR(G80/D80*100,0)</f>
        <v>3.4941832947213709</v>
      </c>
      <c r="I80" s="62">
        <f t="shared" ref="I80:I93" si="111">IFERROR(G80/E80*100,0)</f>
        <v>15.13128371089536</v>
      </c>
      <c r="J80" s="62">
        <f t="shared" ref="J80:AG80" si="112">J81</f>
        <v>32.9</v>
      </c>
      <c r="K80" s="62">
        <f t="shared" si="112"/>
        <v>13.587999999999999</v>
      </c>
      <c r="L80" s="62">
        <f t="shared" si="112"/>
        <v>228.3</v>
      </c>
      <c r="M80" s="62">
        <f t="shared" si="112"/>
        <v>126.679</v>
      </c>
      <c r="N80" s="62">
        <f t="shared" si="112"/>
        <v>665.8</v>
      </c>
      <c r="O80" s="62">
        <f>O81</f>
        <v>0</v>
      </c>
      <c r="P80" s="62">
        <f t="shared" si="112"/>
        <v>2928.6</v>
      </c>
      <c r="Q80" s="62">
        <f t="shared" si="112"/>
        <v>0</v>
      </c>
      <c r="R80" s="62">
        <f t="shared" si="112"/>
        <v>63.4</v>
      </c>
      <c r="S80" s="62">
        <f t="shared" si="112"/>
        <v>0</v>
      </c>
      <c r="T80" s="62">
        <f t="shared" si="112"/>
        <v>0</v>
      </c>
      <c r="U80" s="62">
        <f t="shared" si="112"/>
        <v>0</v>
      </c>
      <c r="V80" s="62">
        <f t="shared" si="112"/>
        <v>0</v>
      </c>
      <c r="W80" s="62">
        <f t="shared" si="112"/>
        <v>0</v>
      </c>
      <c r="X80" s="62">
        <f t="shared" si="112"/>
        <v>63.4</v>
      </c>
      <c r="Y80" s="62">
        <f t="shared" si="112"/>
        <v>0</v>
      </c>
      <c r="Z80" s="62">
        <f t="shared" si="112"/>
        <v>0</v>
      </c>
      <c r="AA80" s="62">
        <f t="shared" si="112"/>
        <v>0</v>
      </c>
      <c r="AB80" s="62">
        <f t="shared" si="112"/>
        <v>23.7</v>
      </c>
      <c r="AC80" s="62">
        <f t="shared" si="112"/>
        <v>0</v>
      </c>
      <c r="AD80" s="62">
        <f t="shared" si="112"/>
        <v>8.1999999999999993</v>
      </c>
      <c r="AE80" s="62">
        <f t="shared" si="112"/>
        <v>0</v>
      </c>
      <c r="AF80" s="62">
        <f t="shared" si="112"/>
        <v>0</v>
      </c>
      <c r="AG80" s="62">
        <f t="shared" si="112"/>
        <v>0</v>
      </c>
      <c r="AH80" s="325"/>
      <c r="AI80" s="20"/>
    </row>
    <row r="81" spans="1:35" s="22" customFormat="1" ht="41.25" customHeight="1" x14ac:dyDescent="0.25">
      <c r="A81" s="374"/>
      <c r="B81" s="377"/>
      <c r="C81" s="126" t="s">
        <v>21</v>
      </c>
      <c r="D81" s="74">
        <f t="shared" ref="D81" si="113">SUM(J81,L81,N81,P81,R81,T81,V81,X81,Z81,AB81,AD81,AF81)</f>
        <v>4014.2999999999997</v>
      </c>
      <c r="E81" s="62">
        <f>J81+L81+N81</f>
        <v>927</v>
      </c>
      <c r="F81" s="62">
        <f t="shared" si="109"/>
        <v>140.267</v>
      </c>
      <c r="G81" s="62">
        <f t="shared" ref="G81" si="114">SUM(K81,M81,O81,Q81,S81,U81,W81,Y81,AA81,AC81,AE81,AG81)</f>
        <v>140.267</v>
      </c>
      <c r="H81" s="62">
        <f t="shared" si="110"/>
        <v>3.4941832947213709</v>
      </c>
      <c r="I81" s="62">
        <f t="shared" si="111"/>
        <v>15.13128371089536</v>
      </c>
      <c r="J81" s="63">
        <v>32.9</v>
      </c>
      <c r="K81" s="63">
        <v>13.587999999999999</v>
      </c>
      <c r="L81" s="63">
        <v>228.3</v>
      </c>
      <c r="M81" s="63">
        <v>126.679</v>
      </c>
      <c r="N81" s="63">
        <v>665.8</v>
      </c>
      <c r="O81" s="63">
        <v>0</v>
      </c>
      <c r="P81" s="63">
        <v>2928.6</v>
      </c>
      <c r="Q81" s="63">
        <v>0</v>
      </c>
      <c r="R81" s="63">
        <v>63.4</v>
      </c>
      <c r="S81" s="63">
        <v>0</v>
      </c>
      <c r="T81" s="63">
        <v>0</v>
      </c>
      <c r="U81" s="63">
        <v>0</v>
      </c>
      <c r="V81" s="63">
        <v>0</v>
      </c>
      <c r="W81" s="63">
        <v>0</v>
      </c>
      <c r="X81" s="63">
        <v>63.4</v>
      </c>
      <c r="Y81" s="63">
        <v>0</v>
      </c>
      <c r="Z81" s="63">
        <v>0</v>
      </c>
      <c r="AA81" s="63">
        <v>0</v>
      </c>
      <c r="AB81" s="63">
        <v>23.7</v>
      </c>
      <c r="AC81" s="63">
        <v>0</v>
      </c>
      <c r="AD81" s="63">
        <v>8.1999999999999993</v>
      </c>
      <c r="AE81" s="63">
        <v>0</v>
      </c>
      <c r="AF81" s="63">
        <v>0</v>
      </c>
      <c r="AG81" s="63">
        <v>0</v>
      </c>
      <c r="AH81" s="60"/>
      <c r="AI81" s="20"/>
    </row>
    <row r="82" spans="1:35" s="21" customFormat="1" ht="23.25" customHeight="1" x14ac:dyDescent="0.25">
      <c r="A82" s="373" t="s">
        <v>141</v>
      </c>
      <c r="B82" s="376" t="s">
        <v>142</v>
      </c>
      <c r="C82" s="125" t="s">
        <v>20</v>
      </c>
      <c r="D82" s="70">
        <f>D84+D85+D83</f>
        <v>447.1</v>
      </c>
      <c r="E82" s="58">
        <f t="shared" ref="E82:G82" si="115">E84+E85+E83</f>
        <v>0</v>
      </c>
      <c r="F82" s="58">
        <f t="shared" si="115"/>
        <v>0</v>
      </c>
      <c r="G82" s="58">
        <f t="shared" si="115"/>
        <v>0</v>
      </c>
      <c r="H82" s="58">
        <f t="shared" si="110"/>
        <v>0</v>
      </c>
      <c r="I82" s="58">
        <f t="shared" si="111"/>
        <v>0</v>
      </c>
      <c r="J82" s="58">
        <f t="shared" ref="J82:AG82" si="116">J84+J85+J83</f>
        <v>0</v>
      </c>
      <c r="K82" s="58">
        <f t="shared" si="116"/>
        <v>0</v>
      </c>
      <c r="L82" s="58">
        <f t="shared" si="116"/>
        <v>0</v>
      </c>
      <c r="M82" s="58">
        <f t="shared" si="116"/>
        <v>0</v>
      </c>
      <c r="N82" s="58">
        <f t="shared" si="116"/>
        <v>116.94499999999999</v>
      </c>
      <c r="O82" s="58">
        <f t="shared" si="116"/>
        <v>0</v>
      </c>
      <c r="P82" s="58">
        <f t="shared" si="116"/>
        <v>15.1</v>
      </c>
      <c r="Q82" s="58">
        <f t="shared" si="116"/>
        <v>0</v>
      </c>
      <c r="R82" s="58">
        <f t="shared" si="116"/>
        <v>41.055</v>
      </c>
      <c r="S82" s="58">
        <f t="shared" si="116"/>
        <v>0</v>
      </c>
      <c r="T82" s="58">
        <f t="shared" si="116"/>
        <v>0</v>
      </c>
      <c r="U82" s="58">
        <f t="shared" si="116"/>
        <v>0</v>
      </c>
      <c r="V82" s="58">
        <f t="shared" si="116"/>
        <v>0</v>
      </c>
      <c r="W82" s="58">
        <f t="shared" si="116"/>
        <v>0</v>
      </c>
      <c r="X82" s="58">
        <f t="shared" si="116"/>
        <v>60</v>
      </c>
      <c r="Y82" s="58">
        <f t="shared" si="116"/>
        <v>0</v>
      </c>
      <c r="Z82" s="58">
        <f t="shared" si="116"/>
        <v>140</v>
      </c>
      <c r="AA82" s="58">
        <f t="shared" si="116"/>
        <v>0</v>
      </c>
      <c r="AB82" s="58">
        <f t="shared" si="116"/>
        <v>0</v>
      </c>
      <c r="AC82" s="58">
        <f t="shared" si="116"/>
        <v>0</v>
      </c>
      <c r="AD82" s="58">
        <f t="shared" si="116"/>
        <v>0</v>
      </c>
      <c r="AE82" s="58">
        <f t="shared" si="116"/>
        <v>0</v>
      </c>
      <c r="AF82" s="58">
        <f t="shared" si="116"/>
        <v>74</v>
      </c>
      <c r="AG82" s="58">
        <f t="shared" si="116"/>
        <v>0</v>
      </c>
      <c r="AH82" s="60"/>
      <c r="AI82" s="23"/>
    </row>
    <row r="83" spans="1:35" s="21" customFormat="1" ht="17.25" hidden="1" customHeight="1" x14ac:dyDescent="0.25">
      <c r="A83" s="374"/>
      <c r="B83" s="377"/>
      <c r="C83" s="126" t="s">
        <v>52</v>
      </c>
      <c r="D83" s="74">
        <f>SUM(J83,L83,N83,P83,R83,T83,V83,X83,Z83,AB83,AD83,AF83)</f>
        <v>0</v>
      </c>
      <c r="E83" s="62">
        <f>J83</f>
        <v>0</v>
      </c>
      <c r="F83" s="62">
        <f>G83</f>
        <v>0</v>
      </c>
      <c r="G83" s="62">
        <f>SUM(K83,M83,O83,Q83,S83,U83,W83,Y83,AA83,AC83,AE83,AG83)</f>
        <v>0</v>
      </c>
      <c r="H83" s="62">
        <f t="shared" si="110"/>
        <v>0</v>
      </c>
      <c r="I83" s="62">
        <f t="shared" si="111"/>
        <v>0</v>
      </c>
      <c r="J83" s="62">
        <f>J87</f>
        <v>0</v>
      </c>
      <c r="K83" s="62">
        <f t="shared" ref="K83:AG83" si="117">K87</f>
        <v>0</v>
      </c>
      <c r="L83" s="62">
        <f t="shared" si="117"/>
        <v>0</v>
      </c>
      <c r="M83" s="62">
        <f t="shared" si="117"/>
        <v>0</v>
      </c>
      <c r="N83" s="62">
        <f t="shared" si="117"/>
        <v>0</v>
      </c>
      <c r="O83" s="62">
        <f t="shared" si="117"/>
        <v>0</v>
      </c>
      <c r="P83" s="62">
        <f t="shared" si="117"/>
        <v>0</v>
      </c>
      <c r="Q83" s="62">
        <f t="shared" si="117"/>
        <v>0</v>
      </c>
      <c r="R83" s="62">
        <f t="shared" si="117"/>
        <v>0</v>
      </c>
      <c r="S83" s="62">
        <f t="shared" si="117"/>
        <v>0</v>
      </c>
      <c r="T83" s="62">
        <f t="shared" si="117"/>
        <v>0</v>
      </c>
      <c r="U83" s="62">
        <f t="shared" si="117"/>
        <v>0</v>
      </c>
      <c r="V83" s="62">
        <f t="shared" si="117"/>
        <v>0</v>
      </c>
      <c r="W83" s="62">
        <f t="shared" si="117"/>
        <v>0</v>
      </c>
      <c r="X83" s="62">
        <f t="shared" si="117"/>
        <v>0</v>
      </c>
      <c r="Y83" s="62">
        <f t="shared" si="117"/>
        <v>0</v>
      </c>
      <c r="Z83" s="62">
        <f t="shared" si="117"/>
        <v>0</v>
      </c>
      <c r="AA83" s="62">
        <f t="shared" si="117"/>
        <v>0</v>
      </c>
      <c r="AB83" s="62">
        <f t="shared" si="117"/>
        <v>0</v>
      </c>
      <c r="AC83" s="62">
        <f t="shared" si="117"/>
        <v>0</v>
      </c>
      <c r="AD83" s="62">
        <f t="shared" si="117"/>
        <v>0</v>
      </c>
      <c r="AE83" s="62">
        <f t="shared" si="117"/>
        <v>0</v>
      </c>
      <c r="AF83" s="62">
        <f t="shared" si="117"/>
        <v>0</v>
      </c>
      <c r="AG83" s="62">
        <f t="shared" si="117"/>
        <v>0</v>
      </c>
      <c r="AH83" s="60"/>
      <c r="AI83" s="23"/>
    </row>
    <row r="84" spans="1:35" s="21" customFormat="1" ht="37.5" customHeight="1" x14ac:dyDescent="0.25">
      <c r="A84" s="374"/>
      <c r="B84" s="377"/>
      <c r="C84" s="126" t="s">
        <v>22</v>
      </c>
      <c r="D84" s="74">
        <f>SUM(J84,L84,N84,P84,R84,T84,V84,X84,Z84,AB84,AD84,AF84)</f>
        <v>74</v>
      </c>
      <c r="E84" s="62">
        <f>J84</f>
        <v>0</v>
      </c>
      <c r="F84" s="62">
        <f>G84</f>
        <v>0</v>
      </c>
      <c r="G84" s="62">
        <f>SUM(K84,M84,O84,Q84,S84,U84,W84,Y84,AA84,AC84,AE84,AG84)</f>
        <v>0</v>
      </c>
      <c r="H84" s="62">
        <f t="shared" si="110"/>
        <v>0</v>
      </c>
      <c r="I84" s="62">
        <f t="shared" si="111"/>
        <v>0</v>
      </c>
      <c r="J84" s="63">
        <f>J92</f>
        <v>0</v>
      </c>
      <c r="K84" s="63">
        <f t="shared" ref="K84:AG84" si="118">K92</f>
        <v>0</v>
      </c>
      <c r="L84" s="63">
        <f t="shared" si="118"/>
        <v>0</v>
      </c>
      <c r="M84" s="63">
        <f t="shared" si="118"/>
        <v>0</v>
      </c>
      <c r="N84" s="63">
        <f t="shared" si="118"/>
        <v>0</v>
      </c>
      <c r="O84" s="63">
        <f t="shared" si="118"/>
        <v>0</v>
      </c>
      <c r="P84" s="63">
        <f t="shared" si="118"/>
        <v>0</v>
      </c>
      <c r="Q84" s="63">
        <f t="shared" si="118"/>
        <v>0</v>
      </c>
      <c r="R84" s="63">
        <f t="shared" si="118"/>
        <v>0</v>
      </c>
      <c r="S84" s="63">
        <f t="shared" si="118"/>
        <v>0</v>
      </c>
      <c r="T84" s="63">
        <f t="shared" si="118"/>
        <v>0</v>
      </c>
      <c r="U84" s="63">
        <f t="shared" si="118"/>
        <v>0</v>
      </c>
      <c r="V84" s="63">
        <f t="shared" si="118"/>
        <v>0</v>
      </c>
      <c r="W84" s="63">
        <f t="shared" si="118"/>
        <v>0</v>
      </c>
      <c r="X84" s="63">
        <f t="shared" si="118"/>
        <v>0</v>
      </c>
      <c r="Y84" s="63">
        <f t="shared" si="118"/>
        <v>0</v>
      </c>
      <c r="Z84" s="63">
        <f t="shared" si="118"/>
        <v>0</v>
      </c>
      <c r="AA84" s="63">
        <f t="shared" si="118"/>
        <v>0</v>
      </c>
      <c r="AB84" s="63">
        <f t="shared" si="118"/>
        <v>0</v>
      </c>
      <c r="AC84" s="63">
        <f t="shared" si="118"/>
        <v>0</v>
      </c>
      <c r="AD84" s="63">
        <f t="shared" si="118"/>
        <v>0</v>
      </c>
      <c r="AE84" s="63">
        <f t="shared" si="118"/>
        <v>0</v>
      </c>
      <c r="AF84" s="63">
        <f t="shared" si="118"/>
        <v>74</v>
      </c>
      <c r="AG84" s="63">
        <f t="shared" si="118"/>
        <v>0</v>
      </c>
      <c r="AH84" s="60"/>
      <c r="AI84" s="23"/>
    </row>
    <row r="85" spans="1:35" s="22" customFormat="1" ht="33" customHeight="1" x14ac:dyDescent="0.25">
      <c r="A85" s="374"/>
      <c r="B85" s="378"/>
      <c r="C85" s="126" t="s">
        <v>21</v>
      </c>
      <c r="D85" s="74">
        <f>SUM(J85,L85,N85,P85,R85,T85,V85,X85,Z85,AB85,AD85,AF85)</f>
        <v>373.1</v>
      </c>
      <c r="E85" s="62">
        <f>J85</f>
        <v>0</v>
      </c>
      <c r="F85" s="62">
        <f>G85</f>
        <v>0</v>
      </c>
      <c r="G85" s="62">
        <f>SUM(K85,M85,O85,Q85,S85,U85,W85,Y85,AA85,AC85,AE85,AG85)</f>
        <v>0</v>
      </c>
      <c r="H85" s="62">
        <f t="shared" si="110"/>
        <v>0</v>
      </c>
      <c r="I85" s="62">
        <f t="shared" si="111"/>
        <v>0</v>
      </c>
      <c r="J85" s="67">
        <f>J89</f>
        <v>0</v>
      </c>
      <c r="K85" s="67">
        <f t="shared" ref="K85:AG85" si="119">K89</f>
        <v>0</v>
      </c>
      <c r="L85" s="67">
        <f t="shared" si="119"/>
        <v>0</v>
      </c>
      <c r="M85" s="67">
        <f t="shared" si="119"/>
        <v>0</v>
      </c>
      <c r="N85" s="67">
        <f t="shared" si="119"/>
        <v>116.94499999999999</v>
      </c>
      <c r="O85" s="67">
        <f t="shared" si="119"/>
        <v>0</v>
      </c>
      <c r="P85" s="67">
        <f t="shared" si="119"/>
        <v>15.1</v>
      </c>
      <c r="Q85" s="67">
        <v>0</v>
      </c>
      <c r="R85" s="67">
        <f t="shared" si="119"/>
        <v>41.055</v>
      </c>
      <c r="S85" s="67">
        <f t="shared" si="119"/>
        <v>0</v>
      </c>
      <c r="T85" s="67">
        <f t="shared" si="119"/>
        <v>0</v>
      </c>
      <c r="U85" s="67">
        <f t="shared" si="119"/>
        <v>0</v>
      </c>
      <c r="V85" s="67">
        <f t="shared" si="119"/>
        <v>0</v>
      </c>
      <c r="W85" s="67">
        <f t="shared" si="119"/>
        <v>0</v>
      </c>
      <c r="X85" s="67">
        <f t="shared" si="119"/>
        <v>60</v>
      </c>
      <c r="Y85" s="67">
        <f t="shared" si="119"/>
        <v>0</v>
      </c>
      <c r="Z85" s="67">
        <f t="shared" si="119"/>
        <v>140</v>
      </c>
      <c r="AA85" s="67">
        <f t="shared" si="119"/>
        <v>0</v>
      </c>
      <c r="AB85" s="67">
        <f t="shared" si="119"/>
        <v>0</v>
      </c>
      <c r="AC85" s="67">
        <f t="shared" si="119"/>
        <v>0</v>
      </c>
      <c r="AD85" s="67">
        <f t="shared" si="119"/>
        <v>0</v>
      </c>
      <c r="AE85" s="67">
        <f t="shared" si="119"/>
        <v>0</v>
      </c>
      <c r="AF85" s="67">
        <f t="shared" si="119"/>
        <v>0</v>
      </c>
      <c r="AG85" s="67">
        <f t="shared" si="119"/>
        <v>0</v>
      </c>
      <c r="AH85" s="64"/>
      <c r="AI85" s="20"/>
    </row>
    <row r="86" spans="1:35" s="21" customFormat="1" ht="72.75" customHeight="1" x14ac:dyDescent="0.25">
      <c r="A86" s="127"/>
      <c r="B86" s="384" t="s">
        <v>143</v>
      </c>
      <c r="C86" s="125" t="s">
        <v>20</v>
      </c>
      <c r="D86" s="70">
        <f>D88+D89+D87</f>
        <v>373.1</v>
      </c>
      <c r="E86" s="58">
        <f t="shared" ref="E86:G86" si="120">E88+E89+E87</f>
        <v>116.94499999999999</v>
      </c>
      <c r="F86" s="58">
        <f t="shared" si="120"/>
        <v>116.95</v>
      </c>
      <c r="G86" s="58">
        <f t="shared" si="120"/>
        <v>0</v>
      </c>
      <c r="H86" s="58">
        <f t="shared" si="110"/>
        <v>0</v>
      </c>
      <c r="I86" s="58">
        <f t="shared" si="111"/>
        <v>0</v>
      </c>
      <c r="J86" s="58">
        <f t="shared" ref="J86:AG86" si="121">J88+J89+J87</f>
        <v>0</v>
      </c>
      <c r="K86" s="58">
        <f t="shared" si="121"/>
        <v>0</v>
      </c>
      <c r="L86" s="58">
        <f t="shared" si="121"/>
        <v>0</v>
      </c>
      <c r="M86" s="58">
        <f t="shared" si="121"/>
        <v>0</v>
      </c>
      <c r="N86" s="58">
        <f t="shared" si="121"/>
        <v>116.94499999999999</v>
      </c>
      <c r="O86" s="58">
        <f t="shared" si="121"/>
        <v>0</v>
      </c>
      <c r="P86" s="58">
        <f t="shared" si="121"/>
        <v>15.1</v>
      </c>
      <c r="Q86" s="58">
        <f t="shared" si="121"/>
        <v>0</v>
      </c>
      <c r="R86" s="58">
        <f t="shared" si="121"/>
        <v>41.055</v>
      </c>
      <c r="S86" s="58">
        <f t="shared" si="121"/>
        <v>0</v>
      </c>
      <c r="T86" s="58">
        <f t="shared" si="121"/>
        <v>0</v>
      </c>
      <c r="U86" s="58">
        <f t="shared" si="121"/>
        <v>0</v>
      </c>
      <c r="V86" s="58">
        <f t="shared" si="121"/>
        <v>0</v>
      </c>
      <c r="W86" s="58">
        <f t="shared" si="121"/>
        <v>0</v>
      </c>
      <c r="X86" s="58">
        <f t="shared" si="121"/>
        <v>60</v>
      </c>
      <c r="Y86" s="58">
        <f t="shared" si="121"/>
        <v>0</v>
      </c>
      <c r="Z86" s="58">
        <f t="shared" si="121"/>
        <v>140</v>
      </c>
      <c r="AA86" s="58">
        <f t="shared" si="121"/>
        <v>0</v>
      </c>
      <c r="AB86" s="58">
        <f t="shared" si="121"/>
        <v>0</v>
      </c>
      <c r="AC86" s="58">
        <f t="shared" si="121"/>
        <v>0</v>
      </c>
      <c r="AD86" s="58">
        <f t="shared" si="121"/>
        <v>0</v>
      </c>
      <c r="AE86" s="58">
        <f t="shared" si="121"/>
        <v>0</v>
      </c>
      <c r="AF86" s="58">
        <f t="shared" si="121"/>
        <v>0</v>
      </c>
      <c r="AG86" s="58">
        <f t="shared" si="121"/>
        <v>0</v>
      </c>
      <c r="AH86" s="326"/>
      <c r="AI86" s="23"/>
    </row>
    <row r="87" spans="1:35" s="21" customFormat="1" ht="45.75" hidden="1" customHeight="1" x14ac:dyDescent="0.25">
      <c r="A87" s="127"/>
      <c r="B87" s="385"/>
      <c r="C87" s="126" t="s">
        <v>52</v>
      </c>
      <c r="D87" s="74">
        <f>SUM(J87,L87,N87,P87,R87,T87,V87,X87,Z87,AB87,AD87,AF87)</f>
        <v>0</v>
      </c>
      <c r="E87" s="62">
        <f>J87</f>
        <v>0</v>
      </c>
      <c r="F87" s="62">
        <f>G87</f>
        <v>0</v>
      </c>
      <c r="G87" s="62">
        <f>SUM(K87,M87,O87,Q87,S87,U87,W87,Y87,AA87,AC87,AE87,AG87)</f>
        <v>0</v>
      </c>
      <c r="H87" s="62">
        <f t="shared" si="110"/>
        <v>0</v>
      </c>
      <c r="I87" s="62">
        <f t="shared" si="111"/>
        <v>0</v>
      </c>
      <c r="J87" s="62">
        <v>0</v>
      </c>
      <c r="K87" s="62">
        <v>0</v>
      </c>
      <c r="L87" s="62">
        <v>0</v>
      </c>
      <c r="M87" s="62">
        <v>0</v>
      </c>
      <c r="N87" s="62">
        <v>0</v>
      </c>
      <c r="O87" s="62">
        <v>0</v>
      </c>
      <c r="P87" s="62">
        <v>0</v>
      </c>
      <c r="Q87" s="62">
        <v>0</v>
      </c>
      <c r="R87" s="62">
        <v>0</v>
      </c>
      <c r="S87" s="62">
        <v>0</v>
      </c>
      <c r="T87" s="62">
        <v>0</v>
      </c>
      <c r="U87" s="62">
        <v>0</v>
      </c>
      <c r="V87" s="62">
        <v>0</v>
      </c>
      <c r="W87" s="62">
        <v>0</v>
      </c>
      <c r="X87" s="62">
        <v>0</v>
      </c>
      <c r="Y87" s="62">
        <v>0</v>
      </c>
      <c r="Z87" s="62">
        <v>0</v>
      </c>
      <c r="AA87" s="62">
        <v>0</v>
      </c>
      <c r="AB87" s="62">
        <v>0</v>
      </c>
      <c r="AC87" s="62">
        <v>0</v>
      </c>
      <c r="AD87" s="62">
        <v>0</v>
      </c>
      <c r="AE87" s="62">
        <v>0</v>
      </c>
      <c r="AF87" s="62">
        <v>0</v>
      </c>
      <c r="AG87" s="62">
        <v>0</v>
      </c>
      <c r="AH87" s="60"/>
      <c r="AI87" s="23"/>
    </row>
    <row r="88" spans="1:35" s="21" customFormat="1" ht="50.25" hidden="1" customHeight="1" x14ac:dyDescent="0.25">
      <c r="A88" s="127"/>
      <c r="B88" s="385"/>
      <c r="C88" s="126" t="s">
        <v>22</v>
      </c>
      <c r="D88" s="74">
        <f>SUM(J88,L88,N88,P88,R88,T88,V88,X88,Z88,AB88,AD88,AF88)</f>
        <v>0</v>
      </c>
      <c r="E88" s="62">
        <f>J88</f>
        <v>0</v>
      </c>
      <c r="F88" s="62">
        <f>G88</f>
        <v>0</v>
      </c>
      <c r="G88" s="62">
        <f>SUM(K88,M88,O88,Q88,S88,U88,W88,Y88,AA88,AC88,AE88,AG88)</f>
        <v>0</v>
      </c>
      <c r="H88" s="62">
        <f t="shared" si="110"/>
        <v>0</v>
      </c>
      <c r="I88" s="62">
        <f t="shared" si="111"/>
        <v>0</v>
      </c>
      <c r="J88" s="63">
        <v>0</v>
      </c>
      <c r="K88" s="63">
        <v>0</v>
      </c>
      <c r="L88" s="63">
        <v>0</v>
      </c>
      <c r="M88" s="63">
        <v>0</v>
      </c>
      <c r="N88" s="63">
        <v>0</v>
      </c>
      <c r="O88" s="63">
        <v>0</v>
      </c>
      <c r="P88" s="63">
        <v>0</v>
      </c>
      <c r="Q88" s="63">
        <v>0</v>
      </c>
      <c r="R88" s="63">
        <v>0</v>
      </c>
      <c r="S88" s="63">
        <v>0</v>
      </c>
      <c r="T88" s="63">
        <v>0</v>
      </c>
      <c r="U88" s="63">
        <v>0</v>
      </c>
      <c r="V88" s="63">
        <v>0</v>
      </c>
      <c r="W88" s="63">
        <v>0</v>
      </c>
      <c r="X88" s="63">
        <v>0</v>
      </c>
      <c r="Y88" s="63">
        <v>0</v>
      </c>
      <c r="Z88" s="63">
        <v>0</v>
      </c>
      <c r="AA88" s="63">
        <v>0</v>
      </c>
      <c r="AB88" s="63">
        <v>0</v>
      </c>
      <c r="AC88" s="63">
        <v>0</v>
      </c>
      <c r="AD88" s="63">
        <v>0</v>
      </c>
      <c r="AE88" s="63">
        <v>0</v>
      </c>
      <c r="AF88" s="63">
        <v>0</v>
      </c>
      <c r="AG88" s="63">
        <v>0</v>
      </c>
      <c r="AH88" s="60"/>
      <c r="AI88" s="23"/>
    </row>
    <row r="89" spans="1:35" s="22" customFormat="1" ht="81.75" customHeight="1" x14ac:dyDescent="0.25">
      <c r="A89" s="127"/>
      <c r="B89" s="408"/>
      <c r="C89" s="126" t="s">
        <v>21</v>
      </c>
      <c r="D89" s="74">
        <f>SUM(J89,L89,N89,P89,R89,T89,V89,X89,Z89,AB89,AD89,AF89)</f>
        <v>373.1</v>
      </c>
      <c r="E89" s="62">
        <f>J89+L89+N89</f>
        <v>116.94499999999999</v>
      </c>
      <c r="F89" s="62">
        <v>116.95</v>
      </c>
      <c r="G89" s="62">
        <f>SUM(K89,M89,O89,Q89,S89,U89,W89,Y89,AA89,AC89,AE89,AG89)</f>
        <v>0</v>
      </c>
      <c r="H89" s="62">
        <f t="shared" si="110"/>
        <v>0</v>
      </c>
      <c r="I89" s="62">
        <f t="shared" si="111"/>
        <v>0</v>
      </c>
      <c r="J89" s="67">
        <v>0</v>
      </c>
      <c r="K89" s="67">
        <v>0</v>
      </c>
      <c r="L89" s="67">
        <v>0</v>
      </c>
      <c r="M89" s="67">
        <v>0</v>
      </c>
      <c r="N89" s="67">
        <v>116.94499999999999</v>
      </c>
      <c r="O89" s="67">
        <v>0</v>
      </c>
      <c r="P89" s="67">
        <v>15.1</v>
      </c>
      <c r="Q89" s="67">
        <v>0</v>
      </c>
      <c r="R89" s="67">
        <v>41.055</v>
      </c>
      <c r="S89" s="67">
        <v>0</v>
      </c>
      <c r="T89" s="67">
        <v>0</v>
      </c>
      <c r="U89" s="67">
        <v>0</v>
      </c>
      <c r="V89" s="67">
        <v>0</v>
      </c>
      <c r="W89" s="67">
        <v>0</v>
      </c>
      <c r="X89" s="67">
        <v>60</v>
      </c>
      <c r="Y89" s="67">
        <v>0</v>
      </c>
      <c r="Z89" s="67">
        <v>140</v>
      </c>
      <c r="AA89" s="67">
        <v>0</v>
      </c>
      <c r="AB89" s="67">
        <v>0</v>
      </c>
      <c r="AC89" s="67">
        <v>0</v>
      </c>
      <c r="AD89" s="67">
        <v>0</v>
      </c>
      <c r="AE89" s="67">
        <v>0</v>
      </c>
      <c r="AF89" s="67">
        <v>0</v>
      </c>
      <c r="AG89" s="67">
        <v>0</v>
      </c>
      <c r="AH89" s="324"/>
      <c r="AI89" s="20"/>
    </row>
    <row r="90" spans="1:35" s="21" customFormat="1" ht="69.75" customHeight="1" x14ac:dyDescent="0.25">
      <c r="A90" s="127"/>
      <c r="B90" s="384" t="s">
        <v>144</v>
      </c>
      <c r="C90" s="125" t="s">
        <v>20</v>
      </c>
      <c r="D90" s="70">
        <f>D92+D93+D91</f>
        <v>74</v>
      </c>
      <c r="E90" s="58">
        <f>E92+E93+E91</f>
        <v>0</v>
      </c>
      <c r="F90" s="58">
        <f>F92+F93+F91</f>
        <v>0</v>
      </c>
      <c r="G90" s="58">
        <f>G92+G93+G91</f>
        <v>0</v>
      </c>
      <c r="H90" s="58">
        <f t="shared" si="110"/>
        <v>0</v>
      </c>
      <c r="I90" s="58">
        <f t="shared" si="111"/>
        <v>0</v>
      </c>
      <c r="J90" s="58">
        <f t="shared" ref="J90:AG90" si="122">J92+J93+J91</f>
        <v>0</v>
      </c>
      <c r="K90" s="58">
        <f t="shared" si="122"/>
        <v>0</v>
      </c>
      <c r="L90" s="58">
        <f t="shared" si="122"/>
        <v>0</v>
      </c>
      <c r="M90" s="58">
        <f t="shared" si="122"/>
        <v>0</v>
      </c>
      <c r="N90" s="58">
        <f t="shared" si="122"/>
        <v>0</v>
      </c>
      <c r="O90" s="58">
        <f t="shared" si="122"/>
        <v>0</v>
      </c>
      <c r="P90" s="58">
        <f t="shared" si="122"/>
        <v>0</v>
      </c>
      <c r="Q90" s="58">
        <f t="shared" si="122"/>
        <v>0</v>
      </c>
      <c r="R90" s="58">
        <f t="shared" si="122"/>
        <v>0</v>
      </c>
      <c r="S90" s="58">
        <f t="shared" si="122"/>
        <v>0</v>
      </c>
      <c r="T90" s="58">
        <f t="shared" si="122"/>
        <v>0</v>
      </c>
      <c r="U90" s="58">
        <f t="shared" si="122"/>
        <v>0</v>
      </c>
      <c r="V90" s="58">
        <f t="shared" si="122"/>
        <v>0</v>
      </c>
      <c r="W90" s="58">
        <f t="shared" si="122"/>
        <v>0</v>
      </c>
      <c r="X90" s="58">
        <f t="shared" si="122"/>
        <v>0</v>
      </c>
      <c r="Y90" s="58">
        <f t="shared" si="122"/>
        <v>0</v>
      </c>
      <c r="Z90" s="58">
        <f t="shared" si="122"/>
        <v>0</v>
      </c>
      <c r="AA90" s="58">
        <f t="shared" si="122"/>
        <v>0</v>
      </c>
      <c r="AB90" s="58">
        <f t="shared" si="122"/>
        <v>0</v>
      </c>
      <c r="AC90" s="58">
        <f t="shared" si="122"/>
        <v>0</v>
      </c>
      <c r="AD90" s="58">
        <f t="shared" si="122"/>
        <v>0</v>
      </c>
      <c r="AE90" s="58">
        <f t="shared" si="122"/>
        <v>0</v>
      </c>
      <c r="AF90" s="58">
        <f t="shared" si="122"/>
        <v>74</v>
      </c>
      <c r="AG90" s="58">
        <f t="shared" si="122"/>
        <v>0</v>
      </c>
      <c r="AH90" s="60"/>
      <c r="AI90" s="23"/>
    </row>
    <row r="91" spans="1:35" s="21" customFormat="1" ht="27" hidden="1" customHeight="1" x14ac:dyDescent="0.25">
      <c r="A91" s="127"/>
      <c r="B91" s="385"/>
      <c r="C91" s="126" t="s">
        <v>52</v>
      </c>
      <c r="D91" s="74">
        <f>SUM(J91,L91,N91,P91,R91,T91,V91,X91,Z91,AB91,AD91,AF91)</f>
        <v>0</v>
      </c>
      <c r="E91" s="62">
        <f>J91</f>
        <v>0</v>
      </c>
      <c r="F91" s="62">
        <f>G91</f>
        <v>0</v>
      </c>
      <c r="G91" s="62">
        <f>SUM(K91,M91,O91,Q91,S91,U91,W91,Y91,AA91,AC91,AE91,AG91)</f>
        <v>0</v>
      </c>
      <c r="H91" s="62">
        <f t="shared" si="110"/>
        <v>0</v>
      </c>
      <c r="I91" s="62">
        <f t="shared" si="111"/>
        <v>0</v>
      </c>
      <c r="J91" s="62">
        <v>0</v>
      </c>
      <c r="K91" s="62">
        <v>0</v>
      </c>
      <c r="L91" s="62">
        <v>0</v>
      </c>
      <c r="M91" s="62">
        <v>0</v>
      </c>
      <c r="N91" s="62">
        <v>0</v>
      </c>
      <c r="O91" s="62">
        <v>0</v>
      </c>
      <c r="P91" s="62">
        <v>0</v>
      </c>
      <c r="Q91" s="62">
        <v>0</v>
      </c>
      <c r="R91" s="62">
        <v>0</v>
      </c>
      <c r="S91" s="62">
        <v>0</v>
      </c>
      <c r="T91" s="62">
        <v>0</v>
      </c>
      <c r="U91" s="62">
        <v>0</v>
      </c>
      <c r="V91" s="62">
        <v>0</v>
      </c>
      <c r="W91" s="62">
        <v>0</v>
      </c>
      <c r="X91" s="62">
        <v>0</v>
      </c>
      <c r="Y91" s="62">
        <v>0</v>
      </c>
      <c r="Z91" s="62">
        <v>0</v>
      </c>
      <c r="AA91" s="62">
        <v>0</v>
      </c>
      <c r="AB91" s="62">
        <v>0</v>
      </c>
      <c r="AC91" s="62">
        <v>0</v>
      </c>
      <c r="AD91" s="62">
        <v>0</v>
      </c>
      <c r="AE91" s="62">
        <v>0</v>
      </c>
      <c r="AF91" s="62">
        <v>0</v>
      </c>
      <c r="AG91" s="62">
        <v>0</v>
      </c>
      <c r="AH91" s="60"/>
      <c r="AI91" s="23"/>
    </row>
    <row r="92" spans="1:35" s="21" customFormat="1" ht="120.75" customHeight="1" x14ac:dyDescent="0.25">
      <c r="A92" s="127"/>
      <c r="B92" s="385"/>
      <c r="C92" s="126" t="s">
        <v>22</v>
      </c>
      <c r="D92" s="74">
        <f>SUM(J92,L92,N92,P92,R92,T92,V92,X92,Z92,AB92,AD92,AF92)</f>
        <v>74</v>
      </c>
      <c r="E92" s="62">
        <f>J92</f>
        <v>0</v>
      </c>
      <c r="F92" s="62">
        <f>G92</f>
        <v>0</v>
      </c>
      <c r="G92" s="62">
        <f>SUM(K92,M92,O92,Q92,S92,U92,W92,Y92,AA92,AC92,AE92,AG92)</f>
        <v>0</v>
      </c>
      <c r="H92" s="62">
        <f t="shared" si="110"/>
        <v>0</v>
      </c>
      <c r="I92" s="62">
        <f t="shared" si="111"/>
        <v>0</v>
      </c>
      <c r="J92" s="63">
        <v>0</v>
      </c>
      <c r="K92" s="63">
        <v>0</v>
      </c>
      <c r="L92" s="63">
        <v>0</v>
      </c>
      <c r="M92" s="63">
        <v>0</v>
      </c>
      <c r="N92" s="63">
        <v>0</v>
      </c>
      <c r="O92" s="63">
        <v>0</v>
      </c>
      <c r="P92" s="63">
        <v>0</v>
      </c>
      <c r="Q92" s="63">
        <v>0</v>
      </c>
      <c r="R92" s="63">
        <v>0</v>
      </c>
      <c r="S92" s="63">
        <v>0</v>
      </c>
      <c r="T92" s="63">
        <v>0</v>
      </c>
      <c r="U92" s="63">
        <v>0</v>
      </c>
      <c r="V92" s="63">
        <v>0</v>
      </c>
      <c r="W92" s="63">
        <v>0</v>
      </c>
      <c r="X92" s="63">
        <v>0</v>
      </c>
      <c r="Y92" s="63">
        <v>0</v>
      </c>
      <c r="Z92" s="63">
        <v>0</v>
      </c>
      <c r="AA92" s="63">
        <v>0</v>
      </c>
      <c r="AB92" s="63">
        <v>0</v>
      </c>
      <c r="AC92" s="63">
        <v>0</v>
      </c>
      <c r="AD92" s="63">
        <v>0</v>
      </c>
      <c r="AE92" s="63">
        <v>0</v>
      </c>
      <c r="AF92" s="63">
        <v>74</v>
      </c>
      <c r="AG92" s="63">
        <v>0</v>
      </c>
      <c r="AH92" s="60"/>
      <c r="AI92" s="23"/>
    </row>
    <row r="93" spans="1:35" s="22" customFormat="1" ht="37.5" hidden="1" customHeight="1" x14ac:dyDescent="0.25">
      <c r="A93" s="128"/>
      <c r="B93" s="408"/>
      <c r="C93" s="126" t="s">
        <v>21</v>
      </c>
      <c r="D93" s="74">
        <f>SUM(J93,L93,N93,P93,R93,T93,V93,X93,Z93,AB93,AD93,AF93)</f>
        <v>0</v>
      </c>
      <c r="E93" s="62">
        <f>J93</f>
        <v>0</v>
      </c>
      <c r="F93" s="62">
        <f>G93</f>
        <v>0</v>
      </c>
      <c r="G93" s="62">
        <f>SUM(K93,M93,O93,Q93,S93,U93,W93,Y93,AA93,AC93,AE93,AG93)</f>
        <v>0</v>
      </c>
      <c r="H93" s="62">
        <f t="shared" si="110"/>
        <v>0</v>
      </c>
      <c r="I93" s="62">
        <f t="shared" si="111"/>
        <v>0</v>
      </c>
      <c r="J93" s="67">
        <v>0</v>
      </c>
      <c r="K93" s="67">
        <v>0</v>
      </c>
      <c r="L93" s="67">
        <v>0</v>
      </c>
      <c r="M93" s="67">
        <v>0</v>
      </c>
      <c r="N93" s="67">
        <v>0</v>
      </c>
      <c r="O93" s="67">
        <v>0</v>
      </c>
      <c r="P93" s="67">
        <v>0</v>
      </c>
      <c r="Q93" s="67">
        <v>0</v>
      </c>
      <c r="R93" s="67">
        <v>0</v>
      </c>
      <c r="S93" s="67">
        <v>0</v>
      </c>
      <c r="T93" s="67">
        <v>0</v>
      </c>
      <c r="U93" s="67">
        <v>0</v>
      </c>
      <c r="V93" s="67">
        <v>0</v>
      </c>
      <c r="W93" s="67">
        <v>0</v>
      </c>
      <c r="X93" s="67">
        <v>0</v>
      </c>
      <c r="Y93" s="67">
        <v>0</v>
      </c>
      <c r="Z93" s="67">
        <v>0</v>
      </c>
      <c r="AA93" s="67">
        <v>0</v>
      </c>
      <c r="AB93" s="67">
        <v>0</v>
      </c>
      <c r="AC93" s="67">
        <v>0</v>
      </c>
      <c r="AD93" s="67">
        <v>0</v>
      </c>
      <c r="AE93" s="67">
        <v>0</v>
      </c>
      <c r="AF93" s="67">
        <v>0</v>
      </c>
      <c r="AG93" s="67">
        <v>0</v>
      </c>
      <c r="AH93" s="64"/>
      <c r="AI93" s="20"/>
    </row>
    <row r="94" spans="1:35" s="28" customFormat="1" ht="21" customHeight="1" x14ac:dyDescent="0.25">
      <c r="A94" s="129"/>
      <c r="B94" s="426" t="s">
        <v>32</v>
      </c>
      <c r="C94" s="427"/>
      <c r="D94" s="427"/>
      <c r="E94" s="427"/>
      <c r="F94" s="427"/>
      <c r="G94" s="427"/>
      <c r="H94" s="427"/>
      <c r="I94" s="427"/>
      <c r="J94" s="427"/>
      <c r="K94" s="427"/>
      <c r="L94" s="427"/>
      <c r="M94" s="427"/>
      <c r="N94" s="427"/>
      <c r="O94" s="427"/>
      <c r="P94" s="427"/>
      <c r="Q94" s="427"/>
      <c r="R94" s="427"/>
      <c r="S94" s="427"/>
      <c r="T94" s="427"/>
      <c r="U94" s="427"/>
      <c r="V94" s="427"/>
      <c r="W94" s="427"/>
      <c r="X94" s="427"/>
      <c r="Y94" s="427"/>
      <c r="Z94" s="427"/>
      <c r="AA94" s="427"/>
      <c r="AB94" s="427"/>
      <c r="AC94" s="427"/>
      <c r="AD94" s="427"/>
      <c r="AE94" s="427"/>
      <c r="AF94" s="427"/>
      <c r="AG94" s="428"/>
      <c r="AH94" s="43"/>
      <c r="AI94" s="27"/>
    </row>
    <row r="95" spans="1:35" s="30" customFormat="1" ht="27" customHeight="1" x14ac:dyDescent="0.25">
      <c r="A95" s="402" t="s">
        <v>145</v>
      </c>
      <c r="B95" s="367" t="s">
        <v>34</v>
      </c>
      <c r="C95" s="123" t="s">
        <v>20</v>
      </c>
      <c r="D95" s="70">
        <f>D96</f>
        <v>21816.6</v>
      </c>
      <c r="E95" s="70">
        <f t="shared" ref="E95:G95" si="123">E96</f>
        <v>6086.3950000000004</v>
      </c>
      <c r="F95" s="70">
        <f t="shared" si="123"/>
        <v>3337.4319999999998</v>
      </c>
      <c r="G95" s="70">
        <f t="shared" si="123"/>
        <v>3337.4319999999998</v>
      </c>
      <c r="H95" s="70">
        <f t="shared" ref="H95:H100" si="124">IFERROR(G95/D95*100,0)</f>
        <v>15.29767241458339</v>
      </c>
      <c r="I95" s="70">
        <f t="shared" ref="I95:I100" si="125">IFERROR(G95/E95*100,0)</f>
        <v>54.834298464033303</v>
      </c>
      <c r="J95" s="71">
        <f t="shared" ref="J95:AG95" si="126">SUM(J96:J96)</f>
        <v>2916.2530000000002</v>
      </c>
      <c r="K95" s="71">
        <f t="shared" si="126"/>
        <v>1475.0439999999999</v>
      </c>
      <c r="L95" s="71">
        <f t="shared" si="126"/>
        <v>1881.5260000000001</v>
      </c>
      <c r="M95" s="71">
        <f t="shared" si="126"/>
        <v>1862.3879999999999</v>
      </c>
      <c r="N95" s="71">
        <f t="shared" si="126"/>
        <v>1288.616</v>
      </c>
      <c r="O95" s="71">
        <f t="shared" si="126"/>
        <v>0</v>
      </c>
      <c r="P95" s="71">
        <f t="shared" si="126"/>
        <v>2319.4009999999998</v>
      </c>
      <c r="Q95" s="71">
        <f t="shared" si="126"/>
        <v>0</v>
      </c>
      <c r="R95" s="71">
        <f t="shared" si="126"/>
        <v>1711.9559999999999</v>
      </c>
      <c r="S95" s="71">
        <f t="shared" si="126"/>
        <v>0</v>
      </c>
      <c r="T95" s="71">
        <f t="shared" si="126"/>
        <v>1277.116</v>
      </c>
      <c r="U95" s="71">
        <f t="shared" si="126"/>
        <v>0</v>
      </c>
      <c r="V95" s="71">
        <f t="shared" si="126"/>
        <v>2289.4009999999998</v>
      </c>
      <c r="W95" s="71">
        <f t="shared" si="126"/>
        <v>0</v>
      </c>
      <c r="X95" s="71">
        <f t="shared" si="126"/>
        <v>1711.9559999999999</v>
      </c>
      <c r="Y95" s="71">
        <f t="shared" si="126"/>
        <v>0</v>
      </c>
      <c r="Z95" s="71">
        <f t="shared" si="126"/>
        <v>1305.5160000000001</v>
      </c>
      <c r="AA95" s="71">
        <f t="shared" si="126"/>
        <v>0</v>
      </c>
      <c r="AB95" s="71">
        <f t="shared" si="126"/>
        <v>1875.759</v>
      </c>
      <c r="AC95" s="71">
        <f t="shared" si="126"/>
        <v>0</v>
      </c>
      <c r="AD95" s="71">
        <f t="shared" si="126"/>
        <v>1587.0360000000001</v>
      </c>
      <c r="AE95" s="71">
        <f t="shared" si="126"/>
        <v>0</v>
      </c>
      <c r="AF95" s="71">
        <f t="shared" si="126"/>
        <v>1652.0640000000001</v>
      </c>
      <c r="AG95" s="71">
        <f t="shared" si="126"/>
        <v>0</v>
      </c>
      <c r="AH95" s="72"/>
      <c r="AI95" s="29"/>
    </row>
    <row r="96" spans="1:35" s="31" customFormat="1" ht="72" customHeight="1" x14ac:dyDescent="0.25">
      <c r="A96" s="403"/>
      <c r="B96" s="369"/>
      <c r="C96" s="124" t="s">
        <v>21</v>
      </c>
      <c r="D96" s="74">
        <f>SUM(J96,L96,N96,P96,R96,T96,V96,X96,Z96,AB96,AD96,AF96)</f>
        <v>21816.6</v>
      </c>
      <c r="E96" s="74">
        <f>J96+L96+N96</f>
        <v>6086.3950000000004</v>
      </c>
      <c r="F96" s="74">
        <f>G96</f>
        <v>3337.4319999999998</v>
      </c>
      <c r="G96" s="74">
        <f>SUM(K96,M96,O96,Q96,S96,U96,W96,Y96,AA96,AC96,AE96,AG96)</f>
        <v>3337.4319999999998</v>
      </c>
      <c r="H96" s="74">
        <f t="shared" si="124"/>
        <v>15.29767241458339</v>
      </c>
      <c r="I96" s="74">
        <f t="shared" si="125"/>
        <v>54.834298464033303</v>
      </c>
      <c r="J96" s="67">
        <f>J98+J100</f>
        <v>2916.2530000000002</v>
      </c>
      <c r="K96" s="67">
        <f t="shared" ref="K96:AG96" si="127">K98+K100</f>
        <v>1475.0439999999999</v>
      </c>
      <c r="L96" s="67">
        <f t="shared" si="127"/>
        <v>1881.5260000000001</v>
      </c>
      <c r="M96" s="67">
        <f t="shared" si="127"/>
        <v>1862.3879999999999</v>
      </c>
      <c r="N96" s="67">
        <f t="shared" si="127"/>
        <v>1288.616</v>
      </c>
      <c r="O96" s="67">
        <f t="shared" si="127"/>
        <v>0</v>
      </c>
      <c r="P96" s="67">
        <f t="shared" si="127"/>
        <v>2319.4009999999998</v>
      </c>
      <c r="Q96" s="67">
        <v>0</v>
      </c>
      <c r="R96" s="67">
        <f t="shared" si="127"/>
        <v>1711.9559999999999</v>
      </c>
      <c r="S96" s="67">
        <f t="shared" si="127"/>
        <v>0</v>
      </c>
      <c r="T96" s="67">
        <f t="shared" si="127"/>
        <v>1277.116</v>
      </c>
      <c r="U96" s="67">
        <f t="shared" si="127"/>
        <v>0</v>
      </c>
      <c r="V96" s="67">
        <f t="shared" si="127"/>
        <v>2289.4009999999998</v>
      </c>
      <c r="W96" s="67">
        <f t="shared" si="127"/>
        <v>0</v>
      </c>
      <c r="X96" s="67">
        <f t="shared" si="127"/>
        <v>1711.9559999999999</v>
      </c>
      <c r="Y96" s="67">
        <f t="shared" si="127"/>
        <v>0</v>
      </c>
      <c r="Z96" s="67">
        <f t="shared" si="127"/>
        <v>1305.5160000000001</v>
      </c>
      <c r="AA96" s="67">
        <f t="shared" si="127"/>
        <v>0</v>
      </c>
      <c r="AB96" s="67">
        <f t="shared" si="127"/>
        <v>1875.759</v>
      </c>
      <c r="AC96" s="67">
        <f t="shared" si="127"/>
        <v>0</v>
      </c>
      <c r="AD96" s="67">
        <f t="shared" si="127"/>
        <v>1587.0360000000001</v>
      </c>
      <c r="AE96" s="67">
        <f t="shared" si="127"/>
        <v>0</v>
      </c>
      <c r="AF96" s="67">
        <f t="shared" si="127"/>
        <v>1652.0640000000001</v>
      </c>
      <c r="AG96" s="67">
        <f t="shared" si="127"/>
        <v>0</v>
      </c>
      <c r="AH96" s="75"/>
      <c r="AI96" s="29"/>
    </row>
    <row r="97" spans="1:34" s="10" customFormat="1" ht="30.75" customHeight="1" x14ac:dyDescent="0.25">
      <c r="A97" s="402"/>
      <c r="B97" s="384" t="s">
        <v>146</v>
      </c>
      <c r="C97" s="123" t="s">
        <v>20</v>
      </c>
      <c r="D97" s="70">
        <f>D98</f>
        <v>14313.699999999999</v>
      </c>
      <c r="E97" s="70">
        <f t="shared" ref="E97:G97" si="128">E98</f>
        <v>3973.5110000000004</v>
      </c>
      <c r="F97" s="70">
        <f t="shared" si="128"/>
        <v>2161.2129999999997</v>
      </c>
      <c r="G97" s="70">
        <f t="shared" si="128"/>
        <v>2161.2129999999997</v>
      </c>
      <c r="H97" s="70">
        <f t="shared" si="124"/>
        <v>15.098912230939588</v>
      </c>
      <c r="I97" s="70">
        <f t="shared" si="125"/>
        <v>54.390512571879114</v>
      </c>
      <c r="J97" s="71">
        <f t="shared" ref="J97:AG97" si="129">SUM(J98:J98)</f>
        <v>1883.9490000000001</v>
      </c>
      <c r="K97" s="71">
        <f t="shared" si="129"/>
        <v>950.77800000000002</v>
      </c>
      <c r="L97" s="71">
        <f t="shared" si="129"/>
        <v>1239.9770000000001</v>
      </c>
      <c r="M97" s="71">
        <f t="shared" si="129"/>
        <v>1210.4349999999999</v>
      </c>
      <c r="N97" s="71">
        <f t="shared" si="129"/>
        <v>849.58500000000004</v>
      </c>
      <c r="O97" s="71">
        <f t="shared" si="129"/>
        <v>0</v>
      </c>
      <c r="P97" s="71">
        <f t="shared" si="129"/>
        <v>1540.096</v>
      </c>
      <c r="Q97" s="71">
        <f t="shared" si="129"/>
        <v>0</v>
      </c>
      <c r="R97" s="71">
        <f t="shared" si="129"/>
        <v>1128.2829999999999</v>
      </c>
      <c r="S97" s="71">
        <f t="shared" si="129"/>
        <v>0</v>
      </c>
      <c r="T97" s="71">
        <f t="shared" si="129"/>
        <v>838.08500000000004</v>
      </c>
      <c r="U97" s="71">
        <f t="shared" si="129"/>
        <v>0</v>
      </c>
      <c r="V97" s="71">
        <f t="shared" si="129"/>
        <v>1510.096</v>
      </c>
      <c r="W97" s="71">
        <f t="shared" si="129"/>
        <v>0</v>
      </c>
      <c r="X97" s="71">
        <f t="shared" si="129"/>
        <v>1128.2829999999999</v>
      </c>
      <c r="Y97" s="71">
        <f t="shared" si="129"/>
        <v>0</v>
      </c>
      <c r="Z97" s="71">
        <f t="shared" si="129"/>
        <v>838.08500000000004</v>
      </c>
      <c r="AA97" s="71">
        <f t="shared" si="129"/>
        <v>0</v>
      </c>
      <c r="AB97" s="71">
        <f t="shared" si="129"/>
        <v>1236.5909999999999</v>
      </c>
      <c r="AC97" s="71">
        <f t="shared" si="129"/>
        <v>0</v>
      </c>
      <c r="AD97" s="71">
        <f t="shared" si="129"/>
        <v>1045.684</v>
      </c>
      <c r="AE97" s="71">
        <f t="shared" si="129"/>
        <v>0</v>
      </c>
      <c r="AF97" s="71">
        <f t="shared" si="129"/>
        <v>1074.9860000000001</v>
      </c>
      <c r="AG97" s="71">
        <f t="shared" si="129"/>
        <v>0</v>
      </c>
      <c r="AH97" s="72"/>
    </row>
    <row r="98" spans="1:34" s="10" customFormat="1" ht="41.25" customHeight="1" x14ac:dyDescent="0.25">
      <c r="A98" s="403"/>
      <c r="B98" s="385"/>
      <c r="C98" s="124" t="s">
        <v>21</v>
      </c>
      <c r="D98" s="74">
        <f>SUM(J98,L98,N98,P98,R98,T98,V98,X98,Z98,AB98,AD98,AF98)</f>
        <v>14313.699999999999</v>
      </c>
      <c r="E98" s="74">
        <f>J98+L98+N98</f>
        <v>3973.5110000000004</v>
      </c>
      <c r="F98" s="74">
        <f>G98</f>
        <v>2161.2129999999997</v>
      </c>
      <c r="G98" s="74">
        <f>SUM(K98,M98,O98,Q98,S98,U98,W98,Y98,AA98,AC98,AE98,AG98)</f>
        <v>2161.2129999999997</v>
      </c>
      <c r="H98" s="74">
        <f t="shared" si="124"/>
        <v>15.098912230939588</v>
      </c>
      <c r="I98" s="74">
        <f t="shared" si="125"/>
        <v>54.390512571879114</v>
      </c>
      <c r="J98" s="67">
        <v>1883.9490000000001</v>
      </c>
      <c r="K98" s="67">
        <v>950.77800000000002</v>
      </c>
      <c r="L98" s="67">
        <v>1239.9770000000001</v>
      </c>
      <c r="M98" s="67">
        <v>1210.4349999999999</v>
      </c>
      <c r="N98" s="67">
        <v>849.58500000000004</v>
      </c>
      <c r="O98" s="67">
        <v>0</v>
      </c>
      <c r="P98" s="67">
        <v>1540.096</v>
      </c>
      <c r="Q98" s="67">
        <v>0</v>
      </c>
      <c r="R98" s="67">
        <v>1128.2829999999999</v>
      </c>
      <c r="S98" s="67">
        <v>0</v>
      </c>
      <c r="T98" s="67">
        <v>838.08500000000004</v>
      </c>
      <c r="U98" s="67">
        <v>0</v>
      </c>
      <c r="V98" s="67">
        <v>1510.096</v>
      </c>
      <c r="W98" s="67">
        <v>0</v>
      </c>
      <c r="X98" s="67">
        <v>1128.2829999999999</v>
      </c>
      <c r="Y98" s="67">
        <v>0</v>
      </c>
      <c r="Z98" s="67">
        <v>838.08500000000004</v>
      </c>
      <c r="AA98" s="67">
        <v>0</v>
      </c>
      <c r="AB98" s="67">
        <v>1236.5909999999999</v>
      </c>
      <c r="AC98" s="67">
        <v>0</v>
      </c>
      <c r="AD98" s="67">
        <v>1045.684</v>
      </c>
      <c r="AE98" s="67">
        <v>0</v>
      </c>
      <c r="AF98" s="67">
        <v>1074.9860000000001</v>
      </c>
      <c r="AG98" s="67">
        <v>0</v>
      </c>
      <c r="AH98" s="75"/>
    </row>
    <row r="99" spans="1:34" s="10" customFormat="1" ht="23.25" customHeight="1" x14ac:dyDescent="0.25">
      <c r="A99" s="402"/>
      <c r="B99" s="386" t="s">
        <v>147</v>
      </c>
      <c r="C99" s="123" t="s">
        <v>20</v>
      </c>
      <c r="D99" s="70">
        <f>D100</f>
        <v>7502.9</v>
      </c>
      <c r="E99" s="70">
        <f t="shared" ref="E99:G99" si="130">E100</f>
        <v>2112.884</v>
      </c>
      <c r="F99" s="70">
        <f t="shared" si="130"/>
        <v>1176.2190000000001</v>
      </c>
      <c r="G99" s="70">
        <f t="shared" si="130"/>
        <v>1176.2190000000001</v>
      </c>
      <c r="H99" s="70">
        <f t="shared" si="124"/>
        <v>15.676858281464501</v>
      </c>
      <c r="I99" s="70">
        <f t="shared" si="125"/>
        <v>55.668886697045373</v>
      </c>
      <c r="J99" s="71">
        <f t="shared" ref="J99:AG99" si="131">SUM(J100:J100)</f>
        <v>1032.3040000000001</v>
      </c>
      <c r="K99" s="71">
        <f t="shared" si="131"/>
        <v>524.26599999999996</v>
      </c>
      <c r="L99" s="71">
        <f t="shared" si="131"/>
        <v>641.54899999999998</v>
      </c>
      <c r="M99" s="71">
        <f t="shared" si="131"/>
        <v>651.95299999999997</v>
      </c>
      <c r="N99" s="71">
        <f t="shared" si="131"/>
        <v>439.03100000000001</v>
      </c>
      <c r="O99" s="71">
        <f t="shared" si="131"/>
        <v>0</v>
      </c>
      <c r="P99" s="71">
        <f t="shared" si="131"/>
        <v>779.30499999999995</v>
      </c>
      <c r="Q99" s="71">
        <f t="shared" si="131"/>
        <v>0</v>
      </c>
      <c r="R99" s="71">
        <f t="shared" si="131"/>
        <v>583.673</v>
      </c>
      <c r="S99" s="71">
        <f t="shared" si="131"/>
        <v>0</v>
      </c>
      <c r="T99" s="71">
        <f t="shared" si="131"/>
        <v>439.03100000000001</v>
      </c>
      <c r="U99" s="71">
        <f t="shared" si="131"/>
        <v>0</v>
      </c>
      <c r="V99" s="71">
        <f t="shared" si="131"/>
        <v>779.30499999999995</v>
      </c>
      <c r="W99" s="71">
        <f t="shared" si="131"/>
        <v>0</v>
      </c>
      <c r="X99" s="71">
        <f t="shared" si="131"/>
        <v>583.673</v>
      </c>
      <c r="Y99" s="71">
        <f t="shared" si="131"/>
        <v>0</v>
      </c>
      <c r="Z99" s="71">
        <f t="shared" si="131"/>
        <v>467.43099999999998</v>
      </c>
      <c r="AA99" s="71">
        <f t="shared" si="131"/>
        <v>0</v>
      </c>
      <c r="AB99" s="71">
        <f t="shared" si="131"/>
        <v>639.16800000000001</v>
      </c>
      <c r="AC99" s="71">
        <f t="shared" si="131"/>
        <v>0</v>
      </c>
      <c r="AD99" s="71">
        <f t="shared" si="131"/>
        <v>541.35199999999998</v>
      </c>
      <c r="AE99" s="71">
        <f t="shared" si="131"/>
        <v>0</v>
      </c>
      <c r="AF99" s="71">
        <f t="shared" si="131"/>
        <v>577.07799999999997</v>
      </c>
      <c r="AG99" s="71">
        <f t="shared" si="131"/>
        <v>0</v>
      </c>
      <c r="AH99" s="72"/>
    </row>
    <row r="100" spans="1:34" s="10" customFormat="1" ht="40.5" customHeight="1" x14ac:dyDescent="0.25">
      <c r="A100" s="403"/>
      <c r="B100" s="386"/>
      <c r="C100" s="124" t="s">
        <v>21</v>
      </c>
      <c r="D100" s="74">
        <f>SUM(J100,L100,N100,P100,R100,T100,V100,X100,Z100,AB100,AD100,AF100)</f>
        <v>7502.9</v>
      </c>
      <c r="E100" s="74">
        <f>J100+L100+N100</f>
        <v>2112.884</v>
      </c>
      <c r="F100" s="74">
        <f>G100</f>
        <v>1176.2190000000001</v>
      </c>
      <c r="G100" s="74">
        <f>SUM(K100,M100,O100,Q100,S100,U100,W100,Y100,AA100,AC100,AE100,AG100)</f>
        <v>1176.2190000000001</v>
      </c>
      <c r="H100" s="74">
        <f t="shared" si="124"/>
        <v>15.676858281464501</v>
      </c>
      <c r="I100" s="74">
        <f t="shared" si="125"/>
        <v>55.668886697045373</v>
      </c>
      <c r="J100" s="67">
        <v>1032.3040000000001</v>
      </c>
      <c r="K100" s="67">
        <v>524.26599999999996</v>
      </c>
      <c r="L100" s="67">
        <v>641.54899999999998</v>
      </c>
      <c r="M100" s="67">
        <v>651.95299999999997</v>
      </c>
      <c r="N100" s="67">
        <v>439.03100000000001</v>
      </c>
      <c r="O100" s="67">
        <v>0</v>
      </c>
      <c r="P100" s="67">
        <v>779.30499999999995</v>
      </c>
      <c r="Q100" s="67">
        <v>0</v>
      </c>
      <c r="R100" s="67">
        <v>583.673</v>
      </c>
      <c r="S100" s="67">
        <v>0</v>
      </c>
      <c r="T100" s="67">
        <v>439.03100000000001</v>
      </c>
      <c r="U100" s="67">
        <v>0</v>
      </c>
      <c r="V100" s="67">
        <v>779.30499999999995</v>
      </c>
      <c r="W100" s="67">
        <v>0</v>
      </c>
      <c r="X100" s="67">
        <v>583.673</v>
      </c>
      <c r="Y100" s="67">
        <v>0</v>
      </c>
      <c r="Z100" s="67">
        <v>467.43099999999998</v>
      </c>
      <c r="AA100" s="67">
        <v>0</v>
      </c>
      <c r="AB100" s="67">
        <v>639.16800000000001</v>
      </c>
      <c r="AC100" s="67">
        <v>0</v>
      </c>
      <c r="AD100" s="67">
        <v>541.35199999999998</v>
      </c>
      <c r="AE100" s="67">
        <v>0</v>
      </c>
      <c r="AF100" s="67">
        <v>577.07799999999997</v>
      </c>
      <c r="AG100" s="67">
        <v>0</v>
      </c>
      <c r="AH100" s="75"/>
    </row>
  </sheetData>
  <customSheetViews>
    <customSheetView guid="{2940A182-D1A7-43C5-8D6E-965BED4371B0}" hiddenRows="1">
      <pane xSplit="6" ySplit="7" topLeftCell="G95" activePane="bottomRight" state="frozen"/>
      <selection pane="bottomRight" activeCell="AH11" sqref="AH11:AH101"/>
      <pageMargins left="0.7" right="0.7" top="0.75" bottom="0.75" header="0.3" footer="0.3"/>
      <pageSetup paperSize="9" orientation="portrait" r:id="rId1"/>
    </customSheetView>
    <customSheetView guid="{BBF6B43F-E0FC-43DF-B91C-674F6AB4B556}" scale="80" hiddenRows="1">
      <pane xSplit="6" ySplit="7" topLeftCell="G8" activePane="bottomRight" state="frozen"/>
      <selection pane="bottomRight" activeCell="C2" sqref="C2:S2"/>
      <pageMargins left="0.7" right="0.7" top="0.75" bottom="0.75" header="0.3" footer="0.3"/>
      <pageSetup paperSize="9" orientation="portrait" r:id="rId2"/>
    </customSheetView>
    <customSheetView guid="{30B635D9-57DB-47D5-8A0F-4B30DD769960}" scale="80" hiddenRows="1">
      <pane xSplit="6" ySplit="7" topLeftCell="G8" activePane="bottomRight" state="frozen"/>
      <selection pane="bottomRight" activeCell="C2" sqref="C2:S2"/>
      <pageMargins left="0.7" right="0.7" top="0.75" bottom="0.75" header="0.3" footer="0.3"/>
      <pageSetup paperSize="9" orientation="portrait" r:id="rId3"/>
    </customSheetView>
    <customSheetView guid="{DAEDC989-02E7-4319-8354-59410ACF3F1F}" scale="80" hiddenRows="1">
      <pane xSplit="6" ySplit="7" topLeftCell="G8" activePane="bottomRight" state="frozen"/>
      <selection pane="bottomRight" activeCell="L31" sqref="L31"/>
      <pageMargins left="0.7" right="0.7" top="0.75" bottom="0.75" header="0.3" footer="0.3"/>
      <pageSetup paperSize="9" orientation="portrait" r:id="rId4"/>
    </customSheetView>
    <customSheetView guid="{21E1D423-7B38-4272-8354-09B4DB62C9EB}" scale="80" hiddenRows="1">
      <pane xSplit="6" ySplit="7" topLeftCell="G8" activePane="bottomRight" state="frozen"/>
      <selection pane="bottomRight" activeCell="L31" sqref="L31"/>
      <pageMargins left="0.7" right="0.7" top="0.75" bottom="0.75" header="0.3" footer="0.3"/>
      <pageSetup paperSize="9" orientation="portrait" r:id="rId5"/>
    </customSheetView>
    <customSheetView guid="{EA46B61D-849C-4795-A4FF-F8F1740022EB}" scale="80" hiddenRows="1">
      <pane xSplit="6" ySplit="7" topLeftCell="G8" activePane="bottomRight" state="frozen"/>
      <selection pane="bottomRight" activeCell="L31" sqref="L31"/>
      <pageMargins left="0.7" right="0.7" top="0.75" bottom="0.75" header="0.3" footer="0.3"/>
      <pageSetup paperSize="9" orientation="portrait" r:id="rId6"/>
    </customSheetView>
    <customSheetView guid="{A0E2FBF6-E560-4343-8BE6-217DC798135B}" scale="80" hiddenRows="1">
      <pane xSplit="6" ySplit="7" topLeftCell="G8" activePane="bottomRight" state="frozen"/>
      <selection pane="bottomRight" activeCell="L31" sqref="L31"/>
      <pageMargins left="0.7" right="0.7" top="0.75" bottom="0.75" header="0.3" footer="0.3"/>
      <pageSetup paperSize="9" orientation="portrait" r:id="rId7"/>
    </customSheetView>
    <customSheetView guid="{20A05A62-CBE8-4538-BBC3-2AD9D3B8FAC0}" scale="80" hiddenRows="1">
      <pane xSplit="6" ySplit="7" topLeftCell="G8" activePane="bottomRight" state="frozen"/>
      <selection pane="bottomRight" activeCell="L31" sqref="L31"/>
      <pageMargins left="0.7" right="0.7" top="0.75" bottom="0.75" header="0.3" footer="0.3"/>
      <pageSetup paperSize="9" orientation="portrait" r:id="rId8"/>
    </customSheetView>
    <customSheetView guid="{A4AF2100-C59D-4F60-9EAB-56D9103463F7}" scale="80" hiddenRows="1">
      <pane xSplit="6" ySplit="7" topLeftCell="G8" activePane="bottomRight" state="frozen"/>
      <selection pane="bottomRight" activeCell="L31" sqref="L31"/>
      <pageMargins left="0.7" right="0.7" top="0.75" bottom="0.75" header="0.3" footer="0.3"/>
      <pageSetup paperSize="9" orientation="portrait" r:id="rId9"/>
    </customSheetView>
    <customSheetView guid="{AB9978E4-895D-4050-8F07-2484E22632D1}" scale="80" hiddenRows="1">
      <pane xSplit="6" ySplit="7" topLeftCell="G8" activePane="bottomRight" state="frozen"/>
      <selection pane="bottomRight" activeCell="B22" sqref="B22:B25"/>
      <pageMargins left="0.7" right="0.7" top="0.75" bottom="0.75" header="0.3" footer="0.3"/>
      <pageSetup paperSize="9" orientation="portrait" r:id="rId10"/>
    </customSheetView>
    <customSheetView guid="{519948E4-0B24-465F-9D9E-44BE50D1D647}" scale="80" hiddenRows="1">
      <pane xSplit="6" ySplit="7" topLeftCell="G8" activePane="bottomRight" state="frozen"/>
      <selection pane="bottomRight" activeCell="L31" sqref="L31"/>
      <pageMargins left="0.7" right="0.7" top="0.75" bottom="0.75" header="0.3" footer="0.3"/>
      <pageSetup paperSize="9" orientation="portrait" r:id="rId11"/>
    </customSheetView>
    <customSheetView guid="{C7DC638A-7F60-46C9-A1FB-9ADEAE87F332}" scale="80" hiddenRows="1">
      <pane xSplit="6" ySplit="7" topLeftCell="H38" activePane="bottomRight" state="frozen"/>
      <selection pane="bottomRight" activeCell="K80" sqref="K80"/>
      <pageMargins left="0.7" right="0.7" top="0.75" bottom="0.75" header="0.3" footer="0.3"/>
      <pageSetup paperSize="9" orientation="portrait" r:id="rId12"/>
    </customSheetView>
    <customSheetView guid="{2A5A11D4-90C6-4A3E-8165-7D7BD634B22F}" scale="80" hiddenRows="1">
      <pane xSplit="6" ySplit="7" topLeftCell="G8" activePane="bottomRight" state="frozen"/>
      <selection pane="bottomRight" activeCell="L31" sqref="L31"/>
      <pageMargins left="0.7" right="0.7" top="0.75" bottom="0.75" header="0.3" footer="0.3"/>
      <pageSetup paperSize="9" orientation="portrait" r:id="rId13"/>
    </customSheetView>
    <customSheetView guid="{562453CE-35F5-40A3-AD14-6399D1197C99}" scale="80" hiddenRows="1">
      <pane xSplit="6" ySplit="7" topLeftCell="G8" activePane="bottomRight" state="frozen"/>
      <selection pane="bottomRight" activeCell="L31" sqref="L31"/>
      <pageMargins left="0.7" right="0.7" top="0.75" bottom="0.75" header="0.3" footer="0.3"/>
      <pageSetup paperSize="9" orientation="portrait" r:id="rId14"/>
    </customSheetView>
    <customSheetView guid="{B6B60ED6-A6CC-4DA7-A8CA-5E6DB52D5A87}" scale="80" hiddenRows="1">
      <pane xSplit="6" ySplit="7" topLeftCell="G8" activePane="bottomRight" state="frozen"/>
      <selection pane="bottomRight" activeCell="L31" sqref="L31"/>
      <pageMargins left="0.7" right="0.7" top="0.75" bottom="0.75" header="0.3" footer="0.3"/>
      <pageSetup paperSize="9" orientation="portrait" r:id="rId15"/>
    </customSheetView>
    <customSheetView guid="{133BB3F8-8DD4-4AEF-8CD6-A5FB14681329}" scale="80" hiddenRows="1">
      <pane xSplit="6" ySplit="7" topLeftCell="G8" activePane="bottomRight" state="frozen"/>
      <selection pane="bottomRight" activeCell="L31" sqref="L31"/>
      <pageMargins left="0.7" right="0.7" top="0.75" bottom="0.75" header="0.3" footer="0.3"/>
      <pageSetup paperSize="9" orientation="portrait" r:id="rId16"/>
    </customSheetView>
    <customSheetView guid="{5DF2C78B-5EE4-439D-8D72-8D3A913B65F9}" scale="80" hiddenRows="1">
      <pane xSplit="6" ySplit="7" topLeftCell="G95" activePane="bottomRight" state="frozen"/>
      <selection pane="bottomRight" activeCell="G70" sqref="G70"/>
      <pageMargins left="0.7" right="0.7" top="0.75" bottom="0.75" header="0.3" footer="0.3"/>
      <pageSetup paperSize="9" orientation="portrait" r:id="rId17"/>
    </customSheetView>
    <customSheetView guid="{60A1F930-4BEC-460A-8E14-01E47F6DD055}" scale="80" hiddenRows="1">
      <pane xSplit="6" ySplit="7" topLeftCell="G8" activePane="bottomRight" state="frozen"/>
      <selection pane="bottomRight" activeCell="L31" sqref="L31"/>
      <pageMargins left="0.7" right="0.7" top="0.75" bottom="0.75" header="0.3" footer="0.3"/>
      <pageSetup paperSize="9" orientation="portrait" r:id="rId18"/>
    </customSheetView>
    <customSheetView guid="{7C5A2A36-3D69-43D9-9018-A52C27EC78F9}" scale="80" hiddenRows="1">
      <pane xSplit="6" ySplit="7" topLeftCell="H38" activePane="bottomRight" state="frozen"/>
      <selection pane="bottomRight" activeCell="K80" sqref="K80"/>
      <pageMargins left="0.7" right="0.7" top="0.75" bottom="0.75" header="0.3" footer="0.3"/>
      <pageSetup paperSize="9" orientation="portrait" r:id="rId19"/>
    </customSheetView>
    <customSheetView guid="{C282AA4E-1BB5-4296-9AC6-844C0F88E5FC}" scale="80" hiddenRows="1">
      <pane xSplit="6" ySplit="7" topLeftCell="G8" activePane="bottomRight" state="frozen"/>
      <selection pane="bottomRight" activeCell="L31" sqref="L31"/>
      <pageMargins left="0.7" right="0.7" top="0.75" bottom="0.75" header="0.3" footer="0.3"/>
      <pageSetup paperSize="9" orientation="portrait" r:id="rId20"/>
    </customSheetView>
    <customSheetView guid="{996EC2F0-F6EC-4E63-A83E-34865157BD8D}" scale="80" hiddenRows="1">
      <pane xSplit="6" ySplit="7" topLeftCell="G8" activePane="bottomRight" state="frozen"/>
      <selection pane="bottomRight" activeCell="L31" sqref="L31"/>
      <pageMargins left="0.7" right="0.7" top="0.75" bottom="0.75" header="0.3" footer="0.3"/>
      <pageSetup paperSize="9" orientation="portrait" r:id="rId21"/>
    </customSheetView>
    <customSheetView guid="{AFADB96A-0516-43C1-9F1B-0604F3CAC04A}" hiddenRows="1">
      <pane xSplit="6" ySplit="7" topLeftCell="G8" activePane="bottomRight" state="frozen"/>
      <selection pane="bottomRight" activeCell="L31" sqref="L31"/>
      <pageMargins left="0.7" right="0.7" top="0.75" bottom="0.75" header="0.3" footer="0.3"/>
      <pageSetup paperSize="9" orientation="portrait" r:id="rId22"/>
    </customSheetView>
  </customSheetViews>
  <mergeCells count="75">
    <mergeCell ref="A99:A100"/>
    <mergeCell ref="B99:B100"/>
    <mergeCell ref="A82:A85"/>
    <mergeCell ref="B82:B85"/>
    <mergeCell ref="B86:B89"/>
    <mergeCell ref="B90:B93"/>
    <mergeCell ref="B94:AG94"/>
    <mergeCell ref="A95:A96"/>
    <mergeCell ref="B95:B96"/>
    <mergeCell ref="A77:A79"/>
    <mergeCell ref="B77:B79"/>
    <mergeCell ref="A80:A81"/>
    <mergeCell ref="B80:B81"/>
    <mergeCell ref="A97:A98"/>
    <mergeCell ref="B97:B98"/>
    <mergeCell ref="A67:A69"/>
    <mergeCell ref="B67:B69"/>
    <mergeCell ref="B70:B71"/>
    <mergeCell ref="A74:A76"/>
    <mergeCell ref="B74:B76"/>
    <mergeCell ref="B72:B73"/>
    <mergeCell ref="B63:B64"/>
    <mergeCell ref="A58:A60"/>
    <mergeCell ref="B58:B60"/>
    <mergeCell ref="A40:A42"/>
    <mergeCell ref="B40:B42"/>
    <mergeCell ref="B43:B44"/>
    <mergeCell ref="B45:B46"/>
    <mergeCell ref="A47:A49"/>
    <mergeCell ref="B47:B49"/>
    <mergeCell ref="B50:B51"/>
    <mergeCell ref="B52:B53"/>
    <mergeCell ref="B54:B55"/>
    <mergeCell ref="B56:B57"/>
    <mergeCell ref="B61:B62"/>
    <mergeCell ref="A30:A33"/>
    <mergeCell ref="B30:B33"/>
    <mergeCell ref="A34:A36"/>
    <mergeCell ref="B34:B36"/>
    <mergeCell ref="A37:A39"/>
    <mergeCell ref="B37:B39"/>
    <mergeCell ref="A18:A21"/>
    <mergeCell ref="B18:B21"/>
    <mergeCell ref="A22:A25"/>
    <mergeCell ref="B22:B25"/>
    <mergeCell ref="A26:A29"/>
    <mergeCell ref="B26:B29"/>
    <mergeCell ref="AH4:AH6"/>
    <mergeCell ref="A8:A12"/>
    <mergeCell ref="B8:B12"/>
    <mergeCell ref="B13:AG13"/>
    <mergeCell ref="A14:A17"/>
    <mergeCell ref="B14:B17"/>
    <mergeCell ref="V4:W5"/>
    <mergeCell ref="X4:Y5"/>
    <mergeCell ref="Z4:AA5"/>
    <mergeCell ref="AB4:AC5"/>
    <mergeCell ref="AD4:AE5"/>
    <mergeCell ref="AF4:AG5"/>
    <mergeCell ref="J4:K5"/>
    <mergeCell ref="L4:M5"/>
    <mergeCell ref="N4:O5"/>
    <mergeCell ref="P4:Q5"/>
    <mergeCell ref="R4:S5"/>
    <mergeCell ref="T4:U5"/>
    <mergeCell ref="C2:S2"/>
    <mergeCell ref="C3:S3"/>
    <mergeCell ref="A4:A6"/>
    <mergeCell ref="B4:B6"/>
    <mergeCell ref="C4:C6"/>
    <mergeCell ref="D4:D5"/>
    <mergeCell ref="E4:E5"/>
    <mergeCell ref="F4:F5"/>
    <mergeCell ref="G4:G5"/>
    <mergeCell ref="H4:I5"/>
  </mergeCells>
  <pageMargins left="0.7" right="0.7" top="0.75" bottom="0.75" header="0.3" footer="0.3"/>
  <pageSetup paperSize="9" orientation="portrait" r:id="rId2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86"/>
  <sheetViews>
    <sheetView zoomScale="70" zoomScaleNormal="70" workbookViewId="0">
      <pane xSplit="6" ySplit="7" topLeftCell="G59" activePane="bottomRight" state="frozen"/>
      <selection pane="topRight" activeCell="G1" sqref="G1"/>
      <selection pane="bottomLeft" activeCell="A8" sqref="A8"/>
      <selection pane="bottomRight" activeCell="I70" sqref="I70"/>
    </sheetView>
  </sheetViews>
  <sheetFormatPr defaultColWidth="9.140625" defaultRowHeight="15" x14ac:dyDescent="0.25"/>
  <cols>
    <col min="1" max="1" width="6.5703125" style="8" customWidth="1"/>
    <col min="2" max="2" width="34.5703125" style="8" customWidth="1"/>
    <col min="3" max="3" width="20.85546875" style="9" customWidth="1"/>
    <col min="4" max="4" width="18" style="130" customWidth="1"/>
    <col min="5" max="5" width="14.7109375" style="8" customWidth="1"/>
    <col min="6" max="6" width="15" style="8" customWidth="1"/>
    <col min="7" max="7" width="13.85546875" style="8" customWidth="1"/>
    <col min="8" max="8" width="12.140625" style="8" customWidth="1"/>
    <col min="9" max="9" width="10.85546875" style="8" customWidth="1"/>
    <col min="10" max="10" width="14.28515625" style="8" customWidth="1"/>
    <col min="11" max="11" width="13.5703125" style="8" customWidth="1"/>
    <col min="12" max="12" width="15.140625" style="8" customWidth="1"/>
    <col min="13" max="13" width="13" style="8" customWidth="1"/>
    <col min="14" max="14" width="15.28515625" style="8" customWidth="1"/>
    <col min="15" max="15" width="11.5703125" style="8" customWidth="1"/>
    <col min="16" max="16" width="15" style="8" customWidth="1"/>
    <col min="17" max="17" width="11.5703125" style="8" customWidth="1"/>
    <col min="18" max="18" width="14.42578125"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5" style="8" customWidth="1"/>
    <col min="25" max="25" width="11.5703125" style="8" customWidth="1"/>
    <col min="26" max="26" width="16.140625" style="8" customWidth="1"/>
    <col min="27" max="27" width="11.5703125" style="8" customWidth="1"/>
    <col min="28" max="28" width="14.85546875" style="8" customWidth="1"/>
    <col min="29" max="29" width="11.5703125" style="8" customWidth="1"/>
    <col min="30" max="30" width="13.42578125" style="8" customWidth="1"/>
    <col min="31" max="31" width="11.5703125" style="8" customWidth="1"/>
    <col min="32" max="32" width="13.7109375" style="8" customWidth="1"/>
    <col min="33" max="33" width="11.5703125" style="8" customWidth="1"/>
    <col min="34" max="34" width="38.5703125" style="8" customWidth="1"/>
    <col min="35" max="16384" width="9.140625" style="8"/>
  </cols>
  <sheetData>
    <row r="1" spans="1:35" s="10" customFormat="1" ht="23.25" customHeight="1" x14ac:dyDescent="0.25">
      <c r="C1" s="119"/>
      <c r="D1" s="120"/>
      <c r="E1" s="13"/>
      <c r="F1" s="162"/>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5" s="10" customFormat="1" ht="15.75" x14ac:dyDescent="0.25">
      <c r="A2" s="55"/>
      <c r="B2" s="55"/>
      <c r="C2" s="346" t="s">
        <v>24</v>
      </c>
      <c r="D2" s="346"/>
      <c r="E2" s="346"/>
      <c r="F2" s="346"/>
      <c r="G2" s="346"/>
      <c r="H2" s="346"/>
      <c r="I2" s="346"/>
      <c r="J2" s="346"/>
      <c r="K2" s="346"/>
      <c r="L2" s="346"/>
      <c r="M2" s="346"/>
      <c r="N2" s="346"/>
      <c r="O2" s="346"/>
      <c r="P2" s="346"/>
      <c r="Q2" s="346"/>
      <c r="R2" s="346"/>
      <c r="S2" s="346"/>
      <c r="T2" s="35"/>
      <c r="U2" s="35"/>
      <c r="V2" s="35"/>
      <c r="W2" s="35"/>
      <c r="X2" s="35"/>
      <c r="Y2" s="35"/>
      <c r="Z2" s="35"/>
      <c r="AA2" s="35"/>
      <c r="AB2" s="35"/>
      <c r="AC2" s="35"/>
      <c r="AD2" s="35"/>
      <c r="AE2" s="35"/>
      <c r="AF2" s="35"/>
      <c r="AG2" s="35"/>
      <c r="AH2" s="35"/>
    </row>
    <row r="3" spans="1:35" s="10" customFormat="1" ht="30" customHeight="1" x14ac:dyDescent="0.25">
      <c r="A3" s="55"/>
      <c r="B3" s="55"/>
      <c r="C3" s="347" t="s">
        <v>276</v>
      </c>
      <c r="D3" s="347"/>
      <c r="E3" s="347"/>
      <c r="F3" s="347"/>
      <c r="G3" s="347"/>
      <c r="H3" s="347"/>
      <c r="I3" s="347"/>
      <c r="J3" s="347"/>
      <c r="K3" s="347"/>
      <c r="L3" s="347"/>
      <c r="M3" s="347"/>
      <c r="N3" s="347"/>
      <c r="O3" s="347"/>
      <c r="P3" s="347"/>
      <c r="Q3" s="347"/>
      <c r="R3" s="347"/>
      <c r="S3" s="347"/>
      <c r="T3" s="36"/>
      <c r="U3" s="36"/>
      <c r="V3" s="36"/>
      <c r="W3" s="36"/>
      <c r="X3" s="36"/>
      <c r="Y3" s="36"/>
      <c r="Z3" s="36"/>
      <c r="AA3" s="36"/>
      <c r="AB3" s="36"/>
      <c r="AC3" s="36"/>
      <c r="AD3" s="37"/>
      <c r="AE3" s="37"/>
      <c r="AF3" s="37"/>
      <c r="AG3" s="37" t="s">
        <v>0</v>
      </c>
      <c r="AH3" s="37"/>
    </row>
    <row r="4" spans="1:35" s="10" customFormat="1" ht="15" customHeight="1" x14ac:dyDescent="0.25">
      <c r="A4" s="348" t="s">
        <v>26</v>
      </c>
      <c r="B4" s="351" t="s">
        <v>29</v>
      </c>
      <c r="C4" s="354" t="s">
        <v>30</v>
      </c>
      <c r="D4" s="357"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10" customFormat="1" ht="39" customHeight="1" x14ac:dyDescent="0.25">
      <c r="A5" s="349"/>
      <c r="B5" s="352"/>
      <c r="C5" s="355"/>
      <c r="D5" s="358"/>
      <c r="E5" s="360"/>
      <c r="F5" s="360"/>
      <c r="G5" s="360"/>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5" s="10" customFormat="1" ht="64.5" customHeight="1" x14ac:dyDescent="0.25">
      <c r="A6" s="350"/>
      <c r="B6" s="353"/>
      <c r="C6" s="356"/>
      <c r="D6" s="121">
        <v>2025</v>
      </c>
      <c r="E6" s="39">
        <v>45778</v>
      </c>
      <c r="F6" s="39">
        <v>45778</v>
      </c>
      <c r="G6" s="39">
        <v>45748</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32" customFormat="1" ht="15.75" x14ac:dyDescent="0.25">
      <c r="A7" s="40">
        <v>1</v>
      </c>
      <c r="B7" s="40">
        <v>2</v>
      </c>
      <c r="C7" s="122">
        <v>3</v>
      </c>
      <c r="D7" s="40">
        <v>4</v>
      </c>
      <c r="E7" s="40">
        <v>5</v>
      </c>
      <c r="F7" s="40">
        <v>6</v>
      </c>
      <c r="G7" s="40">
        <v>7</v>
      </c>
      <c r="H7" s="40">
        <v>8</v>
      </c>
      <c r="I7" s="40">
        <v>9</v>
      </c>
      <c r="J7" s="40">
        <v>10</v>
      </c>
      <c r="K7" s="40">
        <v>11</v>
      </c>
      <c r="L7" s="40">
        <v>12</v>
      </c>
      <c r="M7" s="40">
        <v>13</v>
      </c>
      <c r="N7" s="40">
        <v>14</v>
      </c>
      <c r="O7" s="40">
        <v>15</v>
      </c>
      <c r="P7" s="40">
        <v>16</v>
      </c>
      <c r="Q7" s="40">
        <v>17</v>
      </c>
      <c r="R7" s="40">
        <v>18</v>
      </c>
      <c r="S7" s="40">
        <v>19</v>
      </c>
      <c r="T7" s="40">
        <v>20</v>
      </c>
      <c r="U7" s="40">
        <v>21</v>
      </c>
      <c r="V7" s="40">
        <v>22</v>
      </c>
      <c r="W7" s="40">
        <v>23</v>
      </c>
      <c r="X7" s="40">
        <v>24</v>
      </c>
      <c r="Y7" s="40">
        <v>25</v>
      </c>
      <c r="Z7" s="40">
        <v>26</v>
      </c>
      <c r="AA7" s="40">
        <v>27</v>
      </c>
      <c r="AB7" s="40">
        <v>28</v>
      </c>
      <c r="AC7" s="40">
        <v>29</v>
      </c>
      <c r="AD7" s="40">
        <v>30</v>
      </c>
      <c r="AE7" s="40">
        <v>31</v>
      </c>
      <c r="AF7" s="40">
        <v>32</v>
      </c>
      <c r="AG7" s="40">
        <v>33</v>
      </c>
      <c r="AH7" s="40">
        <v>34</v>
      </c>
    </row>
    <row r="8" spans="1:35" s="25" customFormat="1" ht="31.5" customHeight="1" x14ac:dyDescent="0.25">
      <c r="A8" s="438"/>
      <c r="B8" s="367" t="s">
        <v>23</v>
      </c>
      <c r="C8" s="123" t="s">
        <v>20</v>
      </c>
      <c r="D8" s="70">
        <f>D9+D10+D12+D11</f>
        <v>400734.43399999995</v>
      </c>
      <c r="E8" s="70">
        <f t="shared" ref="E8:G8" si="0">E9+E10+E12+E11</f>
        <v>42485.101000000002</v>
      </c>
      <c r="F8" s="70">
        <f t="shared" si="0"/>
        <v>111004.58500000001</v>
      </c>
      <c r="G8" s="70">
        <f t="shared" si="0"/>
        <v>111004.58500000001</v>
      </c>
      <c r="H8" s="70">
        <f>IFERROR(G8/D8*100,0)</f>
        <v>27.700286170067436</v>
      </c>
      <c r="I8" s="70">
        <f>IFERROR(G8/E8*100,0)</f>
        <v>261.27885396812405</v>
      </c>
      <c r="J8" s="71">
        <f t="shared" ref="J8:AG8" si="1">J9+J10+J12+J11</f>
        <v>42485.101000000002</v>
      </c>
      <c r="K8" s="71">
        <f t="shared" si="1"/>
        <v>11433.275</v>
      </c>
      <c r="L8" s="71">
        <f t="shared" si="1"/>
        <v>44106.305999999997</v>
      </c>
      <c r="M8" s="71">
        <f t="shared" si="1"/>
        <v>26748.120000000003</v>
      </c>
      <c r="N8" s="71">
        <f t="shared" si="1"/>
        <v>31881.813999999998</v>
      </c>
      <c r="O8" s="71">
        <f t="shared" si="1"/>
        <v>30737.91</v>
      </c>
      <c r="P8" s="71">
        <f t="shared" si="1"/>
        <v>52014.055999999997</v>
      </c>
      <c r="Q8" s="71">
        <f t="shared" si="1"/>
        <v>42085.280000000006</v>
      </c>
      <c r="R8" s="71">
        <f t="shared" si="1"/>
        <v>46743.896999999997</v>
      </c>
      <c r="S8" s="71">
        <f t="shared" si="1"/>
        <v>0</v>
      </c>
      <c r="T8" s="71">
        <f t="shared" si="1"/>
        <v>35980.452000000005</v>
      </c>
      <c r="U8" s="71">
        <f t="shared" si="1"/>
        <v>0</v>
      </c>
      <c r="V8" s="71">
        <f t="shared" si="1"/>
        <v>26152.824999999997</v>
      </c>
      <c r="W8" s="71">
        <f t="shared" si="1"/>
        <v>0</v>
      </c>
      <c r="X8" s="71">
        <f t="shared" si="1"/>
        <v>19147.849999999995</v>
      </c>
      <c r="Y8" s="71">
        <f t="shared" si="1"/>
        <v>0</v>
      </c>
      <c r="Z8" s="71">
        <f t="shared" si="1"/>
        <v>27261.811999999994</v>
      </c>
      <c r="AA8" s="71">
        <f t="shared" si="1"/>
        <v>0</v>
      </c>
      <c r="AB8" s="71">
        <f t="shared" si="1"/>
        <v>22877.634999999998</v>
      </c>
      <c r="AC8" s="71">
        <f t="shared" si="1"/>
        <v>0</v>
      </c>
      <c r="AD8" s="71">
        <f t="shared" si="1"/>
        <v>21766.190999999999</v>
      </c>
      <c r="AE8" s="71">
        <f t="shared" si="1"/>
        <v>0</v>
      </c>
      <c r="AF8" s="71">
        <f t="shared" si="1"/>
        <v>30316.495000000003</v>
      </c>
      <c r="AG8" s="71">
        <f t="shared" si="1"/>
        <v>0</v>
      </c>
      <c r="AH8" s="158"/>
    </row>
    <row r="9" spans="1:35" s="26" customFormat="1" ht="26.25" hidden="1" customHeight="1" x14ac:dyDescent="0.25">
      <c r="A9" s="439"/>
      <c r="B9" s="368"/>
      <c r="C9" s="124" t="s">
        <v>52</v>
      </c>
      <c r="D9" s="74">
        <f>J9+L9+N9+P9+R9+T9+V9+X9+Z9+AB9+AD9+AF9</f>
        <v>0</v>
      </c>
      <c r="E9" s="74">
        <f>J9</f>
        <v>0</v>
      </c>
      <c r="F9" s="74">
        <f>G9</f>
        <v>0</v>
      </c>
      <c r="G9" s="74">
        <f>K9+M9+O9+Q9+S9+U9+W9+Y9+AA9+AC9+AE9+AG9</f>
        <v>0</v>
      </c>
      <c r="H9" s="74">
        <f t="shared" ref="H9" si="2">IFERROR(G9/D9*100,0)</f>
        <v>0</v>
      </c>
      <c r="I9" s="74">
        <f t="shared" ref="I9" si="3">IFERROR(G9/E9*100,0)</f>
        <v>0</v>
      </c>
      <c r="J9" s="74">
        <f t="shared" ref="J9:AG9" si="4">J15+J61+J77+J83</f>
        <v>0</v>
      </c>
      <c r="K9" s="74">
        <f t="shared" si="4"/>
        <v>0</v>
      </c>
      <c r="L9" s="74">
        <f t="shared" si="4"/>
        <v>0</v>
      </c>
      <c r="M9" s="74">
        <f t="shared" si="4"/>
        <v>0</v>
      </c>
      <c r="N9" s="74">
        <f t="shared" si="4"/>
        <v>0</v>
      </c>
      <c r="O9" s="74">
        <f t="shared" si="4"/>
        <v>0</v>
      </c>
      <c r="P9" s="74">
        <f t="shared" si="4"/>
        <v>0</v>
      </c>
      <c r="Q9" s="74">
        <f t="shared" si="4"/>
        <v>0</v>
      </c>
      <c r="R9" s="74">
        <f t="shared" si="4"/>
        <v>0</v>
      </c>
      <c r="S9" s="74">
        <f t="shared" si="4"/>
        <v>0</v>
      </c>
      <c r="T9" s="74">
        <f t="shared" si="4"/>
        <v>0</v>
      </c>
      <c r="U9" s="74">
        <f t="shared" si="4"/>
        <v>0</v>
      </c>
      <c r="V9" s="74">
        <f t="shared" si="4"/>
        <v>0</v>
      </c>
      <c r="W9" s="74">
        <f t="shared" si="4"/>
        <v>0</v>
      </c>
      <c r="X9" s="74">
        <f t="shared" si="4"/>
        <v>0</v>
      </c>
      <c r="Y9" s="74">
        <f t="shared" si="4"/>
        <v>0</v>
      </c>
      <c r="Z9" s="74">
        <f t="shared" si="4"/>
        <v>0</v>
      </c>
      <c r="AA9" s="74">
        <f t="shared" si="4"/>
        <v>0</v>
      </c>
      <c r="AB9" s="74">
        <f t="shared" si="4"/>
        <v>0</v>
      </c>
      <c r="AC9" s="74">
        <f t="shared" si="4"/>
        <v>0</v>
      </c>
      <c r="AD9" s="74">
        <f t="shared" si="4"/>
        <v>0</v>
      </c>
      <c r="AE9" s="74">
        <f t="shared" si="4"/>
        <v>0</v>
      </c>
      <c r="AF9" s="74">
        <f t="shared" si="4"/>
        <v>0</v>
      </c>
      <c r="AG9" s="74">
        <f t="shared" si="4"/>
        <v>0</v>
      </c>
      <c r="AH9" s="75"/>
    </row>
    <row r="10" spans="1:35" s="26" customFormat="1" ht="40.5" customHeight="1" x14ac:dyDescent="0.25">
      <c r="A10" s="439"/>
      <c r="B10" s="368"/>
      <c r="C10" s="124" t="s">
        <v>22</v>
      </c>
      <c r="D10" s="74">
        <f t="shared" ref="D10:D12" si="5">J10+L10+N10+P10+R10+T10+V10+X10+Z10+AB10+AD10+AF10</f>
        <v>17226.5</v>
      </c>
      <c r="E10" s="74">
        <f t="shared" ref="E10:E12" si="6">J10</f>
        <v>0</v>
      </c>
      <c r="F10" s="74">
        <f t="shared" ref="F10:F12" si="7">G10</f>
        <v>4874.92</v>
      </c>
      <c r="G10" s="74">
        <f t="shared" ref="G10:G12" si="8">K10+M10+O10+Q10+S10+U10+W10+Y10+AA10+AC10+AE10+AG10</f>
        <v>4874.92</v>
      </c>
      <c r="H10" s="74">
        <f>IFERROR(G10/D10*100,0)</f>
        <v>28.298958000754652</v>
      </c>
      <c r="I10" s="74">
        <f>IFERROR(G10/E10*100,0)</f>
        <v>0</v>
      </c>
      <c r="J10" s="74">
        <f t="shared" ref="J10:AG10" si="9">J16+J62+J78+J84</f>
        <v>0</v>
      </c>
      <c r="K10" s="74">
        <f t="shared" si="9"/>
        <v>0</v>
      </c>
      <c r="L10" s="74">
        <f t="shared" si="9"/>
        <v>3677.26</v>
      </c>
      <c r="M10" s="74">
        <f t="shared" si="9"/>
        <v>3677.26</v>
      </c>
      <c r="N10" s="74">
        <f t="shared" si="9"/>
        <v>0</v>
      </c>
      <c r="O10" s="74">
        <f t="shared" si="9"/>
        <v>0</v>
      </c>
      <c r="P10" s="74">
        <f t="shared" si="9"/>
        <v>4081.4870000000001</v>
      </c>
      <c r="Q10" s="74">
        <f t="shared" si="9"/>
        <v>1197.6600000000001</v>
      </c>
      <c r="R10" s="74">
        <f t="shared" si="9"/>
        <v>5891.7250000000004</v>
      </c>
      <c r="S10" s="74">
        <f t="shared" si="9"/>
        <v>0</v>
      </c>
      <c r="T10" s="74">
        <f t="shared" si="9"/>
        <v>0</v>
      </c>
      <c r="U10" s="74">
        <f t="shared" si="9"/>
        <v>0</v>
      </c>
      <c r="V10" s="74">
        <f t="shared" si="9"/>
        <v>0</v>
      </c>
      <c r="W10" s="74">
        <f t="shared" si="9"/>
        <v>0</v>
      </c>
      <c r="X10" s="74">
        <f t="shared" si="9"/>
        <v>0</v>
      </c>
      <c r="Y10" s="74">
        <f t="shared" si="9"/>
        <v>0</v>
      </c>
      <c r="Z10" s="74">
        <f t="shared" si="9"/>
        <v>3050.0129999999999</v>
      </c>
      <c r="AA10" s="74">
        <f t="shared" si="9"/>
        <v>0</v>
      </c>
      <c r="AB10" s="74">
        <f t="shared" si="9"/>
        <v>0</v>
      </c>
      <c r="AC10" s="74">
        <f t="shared" si="9"/>
        <v>0</v>
      </c>
      <c r="AD10" s="74">
        <f t="shared" si="9"/>
        <v>526.01499999999999</v>
      </c>
      <c r="AE10" s="74">
        <f t="shared" si="9"/>
        <v>0</v>
      </c>
      <c r="AF10" s="74">
        <f t="shared" si="9"/>
        <v>0</v>
      </c>
      <c r="AG10" s="74">
        <f t="shared" si="9"/>
        <v>0</v>
      </c>
      <c r="AH10" s="75"/>
    </row>
    <row r="11" spans="1:35" s="26" customFormat="1" ht="40.5" customHeight="1" x14ac:dyDescent="0.25">
      <c r="A11" s="439"/>
      <c r="B11" s="368"/>
      <c r="C11" s="124" t="s">
        <v>21</v>
      </c>
      <c r="D11" s="74">
        <f t="shared" si="5"/>
        <v>343052.33199999994</v>
      </c>
      <c r="E11" s="74">
        <f t="shared" si="6"/>
        <v>37802.257000000005</v>
      </c>
      <c r="F11" s="74">
        <f t="shared" si="7"/>
        <v>106129.66500000001</v>
      </c>
      <c r="G11" s="74">
        <f t="shared" si="8"/>
        <v>106129.66500000001</v>
      </c>
      <c r="H11" s="74">
        <f>IFERROR(G11/D11*100,0)</f>
        <v>30.936873211519234</v>
      </c>
      <c r="I11" s="74">
        <f>IFERROR(G11/E11*100,0)</f>
        <v>280.74954625063788</v>
      </c>
      <c r="J11" s="74">
        <f t="shared" ref="J11:AG11" si="10">J17+J63+J79+J85</f>
        <v>37802.257000000005</v>
      </c>
      <c r="K11" s="74">
        <f t="shared" si="10"/>
        <v>11433.275</v>
      </c>
      <c r="L11" s="74">
        <f t="shared" si="10"/>
        <v>35779.326000000001</v>
      </c>
      <c r="M11" s="74">
        <f t="shared" si="10"/>
        <v>23070.86</v>
      </c>
      <c r="N11" s="74">
        <f t="shared" si="10"/>
        <v>26507.708999999999</v>
      </c>
      <c r="O11" s="74">
        <f t="shared" si="10"/>
        <v>30737.91</v>
      </c>
      <c r="P11" s="74">
        <f t="shared" si="10"/>
        <v>44372.375</v>
      </c>
      <c r="Q11" s="74">
        <f t="shared" si="10"/>
        <v>40887.620000000003</v>
      </c>
      <c r="R11" s="74">
        <f t="shared" si="10"/>
        <v>36763.292000000001</v>
      </c>
      <c r="S11" s="74">
        <f t="shared" si="10"/>
        <v>0</v>
      </c>
      <c r="T11" s="74">
        <f t="shared" si="10"/>
        <v>34874.997000000003</v>
      </c>
      <c r="U11" s="74">
        <f t="shared" si="10"/>
        <v>0</v>
      </c>
      <c r="V11" s="74">
        <f t="shared" si="10"/>
        <v>26143.984999999997</v>
      </c>
      <c r="W11" s="74">
        <f t="shared" si="10"/>
        <v>0</v>
      </c>
      <c r="X11" s="74">
        <f t="shared" si="10"/>
        <v>19139.009999999995</v>
      </c>
      <c r="Y11" s="74">
        <f t="shared" si="10"/>
        <v>0</v>
      </c>
      <c r="Z11" s="74">
        <f t="shared" si="10"/>
        <v>19931.918999999994</v>
      </c>
      <c r="AA11" s="74">
        <f t="shared" si="10"/>
        <v>0</v>
      </c>
      <c r="AB11" s="74">
        <f t="shared" si="10"/>
        <v>18688.366999999998</v>
      </c>
      <c r="AC11" s="74">
        <f t="shared" si="10"/>
        <v>0</v>
      </c>
      <c r="AD11" s="74">
        <f t="shared" si="10"/>
        <v>17330.419999999998</v>
      </c>
      <c r="AE11" s="74">
        <f t="shared" si="10"/>
        <v>0</v>
      </c>
      <c r="AF11" s="74">
        <f t="shared" si="10"/>
        <v>25718.675000000003</v>
      </c>
      <c r="AG11" s="74">
        <f t="shared" si="10"/>
        <v>0</v>
      </c>
      <c r="AH11" s="75"/>
    </row>
    <row r="12" spans="1:35" s="26" customFormat="1" ht="34.5" customHeight="1" x14ac:dyDescent="0.25">
      <c r="A12" s="440"/>
      <c r="B12" s="369"/>
      <c r="C12" s="124" t="s">
        <v>114</v>
      </c>
      <c r="D12" s="74">
        <f t="shared" si="5"/>
        <v>40455.602000000006</v>
      </c>
      <c r="E12" s="74">
        <f t="shared" si="6"/>
        <v>4682.8440000000001</v>
      </c>
      <c r="F12" s="74">
        <f t="shared" si="7"/>
        <v>0</v>
      </c>
      <c r="G12" s="74">
        <f t="shared" si="8"/>
        <v>0</v>
      </c>
      <c r="H12" s="74">
        <f>IFERROR(G12/D12*100,0)</f>
        <v>0</v>
      </c>
      <c r="I12" s="74">
        <f>IFERROR(G12/E12*100,0)</f>
        <v>0</v>
      </c>
      <c r="J12" s="74">
        <f t="shared" ref="J12:AG12" si="11">J18+J64+J80</f>
        <v>4682.8440000000001</v>
      </c>
      <c r="K12" s="74">
        <f t="shared" si="11"/>
        <v>0</v>
      </c>
      <c r="L12" s="74">
        <f t="shared" si="11"/>
        <v>4649.72</v>
      </c>
      <c r="M12" s="74">
        <f t="shared" si="11"/>
        <v>0</v>
      </c>
      <c r="N12" s="74">
        <f t="shared" si="11"/>
        <v>5374.1049999999996</v>
      </c>
      <c r="O12" s="74">
        <f t="shared" si="11"/>
        <v>0</v>
      </c>
      <c r="P12" s="74">
        <f t="shared" si="11"/>
        <v>3560.194</v>
      </c>
      <c r="Q12" s="74">
        <f t="shared" si="11"/>
        <v>0</v>
      </c>
      <c r="R12" s="74">
        <f t="shared" si="11"/>
        <v>4088.88</v>
      </c>
      <c r="S12" s="74">
        <f t="shared" si="11"/>
        <v>0</v>
      </c>
      <c r="T12" s="74">
        <f t="shared" si="11"/>
        <v>1105.4549999999999</v>
      </c>
      <c r="U12" s="74">
        <f t="shared" si="11"/>
        <v>0</v>
      </c>
      <c r="V12" s="74">
        <f t="shared" si="11"/>
        <v>8.84</v>
      </c>
      <c r="W12" s="74">
        <f t="shared" si="11"/>
        <v>0</v>
      </c>
      <c r="X12" s="74">
        <f t="shared" si="11"/>
        <v>8.84</v>
      </c>
      <c r="Y12" s="74">
        <f t="shared" si="11"/>
        <v>0</v>
      </c>
      <c r="Z12" s="74">
        <f t="shared" si="11"/>
        <v>4279.88</v>
      </c>
      <c r="AA12" s="74">
        <f t="shared" si="11"/>
        <v>0</v>
      </c>
      <c r="AB12" s="74">
        <f t="shared" si="11"/>
        <v>4189.268</v>
      </c>
      <c r="AC12" s="74">
        <f t="shared" si="11"/>
        <v>0</v>
      </c>
      <c r="AD12" s="74">
        <f t="shared" si="11"/>
        <v>3909.7559999999999</v>
      </c>
      <c r="AE12" s="74">
        <f t="shared" si="11"/>
        <v>0</v>
      </c>
      <c r="AF12" s="74">
        <f t="shared" si="11"/>
        <v>4597.82</v>
      </c>
      <c r="AG12" s="74">
        <f t="shared" si="11"/>
        <v>0</v>
      </c>
      <c r="AH12" s="75"/>
    </row>
    <row r="13" spans="1:35" s="22" customFormat="1" ht="18.75" customHeight="1" x14ac:dyDescent="0.25">
      <c r="A13" s="159" t="s">
        <v>152</v>
      </c>
      <c r="B13" s="426" t="s">
        <v>277</v>
      </c>
      <c r="C13" s="427"/>
      <c r="D13" s="427"/>
      <c r="E13" s="427"/>
      <c r="F13" s="427"/>
      <c r="G13" s="427"/>
      <c r="H13" s="427"/>
      <c r="I13" s="427"/>
      <c r="J13" s="427"/>
      <c r="K13" s="427"/>
      <c r="L13" s="427"/>
      <c r="M13" s="427"/>
      <c r="N13" s="427"/>
      <c r="O13" s="427"/>
      <c r="P13" s="427"/>
      <c r="Q13" s="427"/>
      <c r="R13" s="427"/>
      <c r="S13" s="427"/>
      <c r="T13" s="427"/>
      <c r="U13" s="427"/>
      <c r="V13" s="427"/>
      <c r="W13" s="427"/>
      <c r="X13" s="427"/>
      <c r="Y13" s="427"/>
      <c r="Z13" s="427"/>
      <c r="AA13" s="427"/>
      <c r="AB13" s="427"/>
      <c r="AC13" s="427"/>
      <c r="AD13" s="427"/>
      <c r="AE13" s="427"/>
      <c r="AF13" s="427"/>
      <c r="AG13" s="428"/>
      <c r="AH13" s="46"/>
    </row>
    <row r="14" spans="1:35" s="21" customFormat="1" ht="23.25" customHeight="1" x14ac:dyDescent="0.25">
      <c r="A14" s="373" t="s">
        <v>170</v>
      </c>
      <c r="B14" s="409" t="s">
        <v>278</v>
      </c>
      <c r="C14" s="123" t="s">
        <v>20</v>
      </c>
      <c r="D14" s="70">
        <f>D15+D17+D18+D16</f>
        <v>349954.81099999999</v>
      </c>
      <c r="E14" s="70">
        <f t="shared" ref="E14:G14" si="12">E15+E17+E18+E16</f>
        <v>36494.32</v>
      </c>
      <c r="F14" s="70">
        <f t="shared" si="12"/>
        <v>86742.73000000001</v>
      </c>
      <c r="G14" s="70">
        <f t="shared" si="12"/>
        <v>86742.73000000001</v>
      </c>
      <c r="H14" s="70">
        <f t="shared" ref="H14:H77" si="13">IFERROR(G14/D14*100,0)</f>
        <v>24.786837406844512</v>
      </c>
      <c r="I14" s="70">
        <f t="shared" ref="I14:I77" si="14">IFERROR(G14/E14*100,0)</f>
        <v>237.68830327568787</v>
      </c>
      <c r="J14" s="70">
        <f t="shared" ref="J14:AF14" si="15">J15+J16+J17+J18</f>
        <v>36494.32</v>
      </c>
      <c r="K14" s="70">
        <f t="shared" si="15"/>
        <v>8284.91</v>
      </c>
      <c r="L14" s="70">
        <f t="shared" si="15"/>
        <v>30792.891</v>
      </c>
      <c r="M14" s="70">
        <f t="shared" si="15"/>
        <v>19526.420000000002</v>
      </c>
      <c r="N14" s="70">
        <f t="shared" si="15"/>
        <v>27311.174999999999</v>
      </c>
      <c r="O14" s="70">
        <f t="shared" si="15"/>
        <v>20695.099999999999</v>
      </c>
      <c r="P14" s="70">
        <f t="shared" si="15"/>
        <v>45420.217000000004</v>
      </c>
      <c r="Q14" s="70">
        <f t="shared" si="15"/>
        <v>38236.300000000003</v>
      </c>
      <c r="R14" s="70">
        <f t="shared" si="15"/>
        <v>40856.443999999996</v>
      </c>
      <c r="S14" s="70">
        <f t="shared" si="15"/>
        <v>0</v>
      </c>
      <c r="T14" s="70">
        <f t="shared" si="15"/>
        <v>34050.099000000002</v>
      </c>
      <c r="U14" s="70">
        <f t="shared" si="15"/>
        <v>0</v>
      </c>
      <c r="V14" s="70">
        <f t="shared" si="15"/>
        <v>22735.001999999997</v>
      </c>
      <c r="W14" s="70">
        <f t="shared" si="15"/>
        <v>0</v>
      </c>
      <c r="X14" s="70">
        <f t="shared" si="15"/>
        <v>18223.389999999996</v>
      </c>
      <c r="Y14" s="70">
        <f t="shared" si="15"/>
        <v>0</v>
      </c>
      <c r="Z14" s="70">
        <f t="shared" si="15"/>
        <v>21985.595999999998</v>
      </c>
      <c r="AA14" s="70">
        <f t="shared" si="15"/>
        <v>0</v>
      </c>
      <c r="AB14" s="70">
        <f t="shared" si="15"/>
        <v>21781.152999999998</v>
      </c>
      <c r="AC14" s="70">
        <f t="shared" si="15"/>
        <v>0</v>
      </c>
      <c r="AD14" s="70">
        <f t="shared" si="15"/>
        <v>20576.764999999999</v>
      </c>
      <c r="AE14" s="70">
        <f t="shared" si="15"/>
        <v>0</v>
      </c>
      <c r="AF14" s="70">
        <f t="shared" si="15"/>
        <v>29727.759000000002</v>
      </c>
      <c r="AG14" s="70">
        <f>AG15+AG16+AG17+AG18</f>
        <v>0</v>
      </c>
      <c r="AH14" s="60"/>
      <c r="AI14" s="23"/>
    </row>
    <row r="15" spans="1:35" s="21" customFormat="1" ht="30.75" hidden="1" customHeight="1" x14ac:dyDescent="0.25">
      <c r="A15" s="374"/>
      <c r="B15" s="430"/>
      <c r="C15" s="124" t="s">
        <v>52</v>
      </c>
      <c r="D15" s="70">
        <f>SUM(J15,L15,N15,P15,R15,T15,V15,X15,Z15,AB15,AD15,AF15)</f>
        <v>0</v>
      </c>
      <c r="E15" s="70">
        <f>J15</f>
        <v>0</v>
      </c>
      <c r="F15" s="70">
        <f>G15</f>
        <v>0</v>
      </c>
      <c r="G15" s="70">
        <f>SUM(K15,M15,O15,Q15,S15,U15,W15,Y15,AA15,AC15,AE15,AG15)</f>
        <v>0</v>
      </c>
      <c r="H15" s="70">
        <f t="shared" si="13"/>
        <v>0</v>
      </c>
      <c r="I15" s="70">
        <f t="shared" si="14"/>
        <v>0</v>
      </c>
      <c r="J15" s="70">
        <f t="shared" ref="J15:AG15" si="16">J20+J55</f>
        <v>0</v>
      </c>
      <c r="K15" s="70">
        <f t="shared" si="16"/>
        <v>0</v>
      </c>
      <c r="L15" s="70">
        <f t="shared" si="16"/>
        <v>0</v>
      </c>
      <c r="M15" s="70">
        <f t="shared" si="16"/>
        <v>0</v>
      </c>
      <c r="N15" s="70">
        <f t="shared" si="16"/>
        <v>0</v>
      </c>
      <c r="O15" s="70">
        <f t="shared" si="16"/>
        <v>0</v>
      </c>
      <c r="P15" s="70">
        <f t="shared" si="16"/>
        <v>0</v>
      </c>
      <c r="Q15" s="70">
        <f t="shared" si="16"/>
        <v>0</v>
      </c>
      <c r="R15" s="70">
        <f t="shared" si="16"/>
        <v>0</v>
      </c>
      <c r="S15" s="70">
        <f t="shared" si="16"/>
        <v>0</v>
      </c>
      <c r="T15" s="70">
        <f t="shared" si="16"/>
        <v>0</v>
      </c>
      <c r="U15" s="70">
        <f t="shared" si="16"/>
        <v>0</v>
      </c>
      <c r="V15" s="70">
        <f t="shared" si="16"/>
        <v>0</v>
      </c>
      <c r="W15" s="70">
        <f t="shared" si="16"/>
        <v>0</v>
      </c>
      <c r="X15" s="70">
        <f t="shared" si="16"/>
        <v>0</v>
      </c>
      <c r="Y15" s="70">
        <f t="shared" si="16"/>
        <v>0</v>
      </c>
      <c r="Z15" s="70">
        <f t="shared" si="16"/>
        <v>0</v>
      </c>
      <c r="AA15" s="70">
        <f t="shared" si="16"/>
        <v>0</v>
      </c>
      <c r="AB15" s="70">
        <f t="shared" si="16"/>
        <v>0</v>
      </c>
      <c r="AC15" s="70">
        <f t="shared" si="16"/>
        <v>0</v>
      </c>
      <c r="AD15" s="70">
        <f t="shared" si="16"/>
        <v>0</v>
      </c>
      <c r="AE15" s="70">
        <f t="shared" si="16"/>
        <v>0</v>
      </c>
      <c r="AF15" s="70">
        <f t="shared" si="16"/>
        <v>0</v>
      </c>
      <c r="AG15" s="70">
        <f t="shared" si="16"/>
        <v>0</v>
      </c>
      <c r="AH15" s="60"/>
      <c r="AI15" s="23"/>
    </row>
    <row r="16" spans="1:35" s="21" customFormat="1" ht="33" customHeight="1" x14ac:dyDescent="0.25">
      <c r="A16" s="374"/>
      <c r="B16" s="430"/>
      <c r="C16" s="124" t="s">
        <v>22</v>
      </c>
      <c r="D16" s="74">
        <f>SUM(J16,L16,N16,P16,R16,T16,V16,X16,Z16,AB16,AD16,AF16)</f>
        <v>2804.7</v>
      </c>
      <c r="E16" s="74">
        <f>J16</f>
        <v>0</v>
      </c>
      <c r="F16" s="74">
        <f>G16</f>
        <v>0</v>
      </c>
      <c r="G16" s="74">
        <f>SUM(K16,M16,O16,Q16,S16,U16,W16,Y16,AA16,AC16,AE16,AG16)</f>
        <v>0</v>
      </c>
      <c r="H16" s="74">
        <f t="shared" si="13"/>
        <v>0</v>
      </c>
      <c r="I16" s="74">
        <f t="shared" si="14"/>
        <v>0</v>
      </c>
      <c r="J16" s="74">
        <f t="shared" ref="J16:AG16" si="17">J21+J56</f>
        <v>0</v>
      </c>
      <c r="K16" s="74">
        <f t="shared" si="17"/>
        <v>0</v>
      </c>
      <c r="L16" s="74">
        <f t="shared" si="17"/>
        <v>0</v>
      </c>
      <c r="M16" s="74">
        <f t="shared" si="17"/>
        <v>0</v>
      </c>
      <c r="N16" s="74">
        <f t="shared" si="17"/>
        <v>0</v>
      </c>
      <c r="O16" s="74">
        <f t="shared" si="17"/>
        <v>0</v>
      </c>
      <c r="P16" s="74">
        <f t="shared" si="17"/>
        <v>0</v>
      </c>
      <c r="Q16" s="74">
        <f t="shared" si="17"/>
        <v>0</v>
      </c>
      <c r="R16" s="74">
        <f t="shared" si="17"/>
        <v>2804.7</v>
      </c>
      <c r="S16" s="74">
        <f t="shared" si="17"/>
        <v>0</v>
      </c>
      <c r="T16" s="74">
        <f t="shared" si="17"/>
        <v>0</v>
      </c>
      <c r="U16" s="74">
        <f t="shared" si="17"/>
        <v>0</v>
      </c>
      <c r="V16" s="74">
        <f t="shared" si="17"/>
        <v>0</v>
      </c>
      <c r="W16" s="74">
        <f t="shared" si="17"/>
        <v>0</v>
      </c>
      <c r="X16" s="74">
        <f t="shared" si="17"/>
        <v>0</v>
      </c>
      <c r="Y16" s="74">
        <f t="shared" si="17"/>
        <v>0</v>
      </c>
      <c r="Z16" s="74">
        <f t="shared" si="17"/>
        <v>0</v>
      </c>
      <c r="AA16" s="74">
        <f t="shared" si="17"/>
        <v>0</v>
      </c>
      <c r="AB16" s="74">
        <f t="shared" si="17"/>
        <v>0</v>
      </c>
      <c r="AC16" s="74">
        <f t="shared" si="17"/>
        <v>0</v>
      </c>
      <c r="AD16" s="74">
        <f t="shared" si="17"/>
        <v>0</v>
      </c>
      <c r="AE16" s="74">
        <f t="shared" si="17"/>
        <v>0</v>
      </c>
      <c r="AF16" s="74">
        <f t="shared" si="17"/>
        <v>0</v>
      </c>
      <c r="AG16" s="74">
        <f t="shared" si="17"/>
        <v>0</v>
      </c>
      <c r="AH16" s="60"/>
      <c r="AI16" s="23"/>
    </row>
    <row r="17" spans="1:35" s="21" customFormat="1" ht="37.5" customHeight="1" x14ac:dyDescent="0.25">
      <c r="A17" s="374"/>
      <c r="B17" s="430"/>
      <c r="C17" s="124" t="s">
        <v>21</v>
      </c>
      <c r="D17" s="74">
        <f>SUM(J17,L17,N17,P17,R17,T17,V17,X17,Z17,AB17,AD17,AF17)</f>
        <v>306694.50899999996</v>
      </c>
      <c r="E17" s="74">
        <f>J17</f>
        <v>31811.475999999999</v>
      </c>
      <c r="F17" s="74">
        <f>G17</f>
        <v>86742.73000000001</v>
      </c>
      <c r="G17" s="74">
        <f>SUM(K17,M17,O17,Q17,S17,U17,W17,Y17,AA17,AC17,AE17,AG17)</f>
        <v>86742.73000000001</v>
      </c>
      <c r="H17" s="74">
        <f t="shared" si="13"/>
        <v>28.283104996835799</v>
      </c>
      <c r="I17" s="74">
        <f t="shared" si="14"/>
        <v>272.67747651822259</v>
      </c>
      <c r="J17" s="67">
        <f t="shared" ref="J17:AG17" si="18">J22+J57</f>
        <v>31811.475999999999</v>
      </c>
      <c r="K17" s="67">
        <f t="shared" si="18"/>
        <v>8284.91</v>
      </c>
      <c r="L17" s="67">
        <f t="shared" si="18"/>
        <v>26143.170999999998</v>
      </c>
      <c r="M17" s="67">
        <f t="shared" si="18"/>
        <v>19526.420000000002</v>
      </c>
      <c r="N17" s="67">
        <f t="shared" si="18"/>
        <v>21937.07</v>
      </c>
      <c r="O17" s="67">
        <f t="shared" si="18"/>
        <v>20695.099999999999</v>
      </c>
      <c r="P17" s="67">
        <f t="shared" si="18"/>
        <v>41860.023000000001</v>
      </c>
      <c r="Q17" s="67">
        <f t="shared" si="18"/>
        <v>38236.300000000003</v>
      </c>
      <c r="R17" s="67">
        <f t="shared" si="18"/>
        <v>33962.864000000001</v>
      </c>
      <c r="S17" s="67">
        <f t="shared" si="18"/>
        <v>0</v>
      </c>
      <c r="T17" s="67">
        <f t="shared" si="18"/>
        <v>32944.644</v>
      </c>
      <c r="U17" s="67">
        <f t="shared" si="18"/>
        <v>0</v>
      </c>
      <c r="V17" s="67">
        <f t="shared" si="18"/>
        <v>22726.161999999997</v>
      </c>
      <c r="W17" s="67">
        <f t="shared" si="18"/>
        <v>0</v>
      </c>
      <c r="X17" s="67">
        <f t="shared" si="18"/>
        <v>18214.549999999996</v>
      </c>
      <c r="Y17" s="67">
        <f t="shared" si="18"/>
        <v>0</v>
      </c>
      <c r="Z17" s="67">
        <f t="shared" si="18"/>
        <v>17705.715999999997</v>
      </c>
      <c r="AA17" s="67">
        <f t="shared" si="18"/>
        <v>0</v>
      </c>
      <c r="AB17" s="67">
        <f t="shared" si="18"/>
        <v>17591.884999999998</v>
      </c>
      <c r="AC17" s="67">
        <f t="shared" si="18"/>
        <v>0</v>
      </c>
      <c r="AD17" s="67">
        <f t="shared" si="18"/>
        <v>16667.008999999998</v>
      </c>
      <c r="AE17" s="67">
        <f t="shared" si="18"/>
        <v>0</v>
      </c>
      <c r="AF17" s="67">
        <f t="shared" si="18"/>
        <v>25129.939000000002</v>
      </c>
      <c r="AG17" s="67">
        <f t="shared" si="18"/>
        <v>0</v>
      </c>
      <c r="AH17" s="60"/>
      <c r="AI17" s="23"/>
    </row>
    <row r="18" spans="1:35" s="22" customFormat="1" ht="46.5" customHeight="1" x14ac:dyDescent="0.25">
      <c r="A18" s="375"/>
      <c r="B18" s="410"/>
      <c r="C18" s="124" t="s">
        <v>279</v>
      </c>
      <c r="D18" s="74">
        <f>SUM(J18,L18,N18,P18,R18,T18,V18,X18,Z18,AB18,AD18,AF18)</f>
        <v>40455.602000000006</v>
      </c>
      <c r="E18" s="74">
        <f>J18</f>
        <v>4682.8440000000001</v>
      </c>
      <c r="F18" s="74">
        <f>G18</f>
        <v>0</v>
      </c>
      <c r="G18" s="74">
        <f>SUM(K18,M18,O18,Q18,S18,U18,W18,Y18,AA18,AC18,AE18,AG18)</f>
        <v>0</v>
      </c>
      <c r="H18" s="74">
        <f t="shared" si="13"/>
        <v>0</v>
      </c>
      <c r="I18" s="74">
        <f t="shared" si="14"/>
        <v>0</v>
      </c>
      <c r="J18" s="67">
        <f t="shared" ref="J18:AG18" si="19">J23+J58</f>
        <v>4682.8440000000001</v>
      </c>
      <c r="K18" s="67">
        <f t="shared" si="19"/>
        <v>0</v>
      </c>
      <c r="L18" s="67">
        <f t="shared" si="19"/>
        <v>4649.72</v>
      </c>
      <c r="M18" s="67">
        <f t="shared" si="19"/>
        <v>0</v>
      </c>
      <c r="N18" s="67">
        <f t="shared" si="19"/>
        <v>5374.1049999999996</v>
      </c>
      <c r="O18" s="67">
        <f t="shared" si="19"/>
        <v>0</v>
      </c>
      <c r="P18" s="67">
        <f t="shared" si="19"/>
        <v>3560.194</v>
      </c>
      <c r="Q18" s="67">
        <f t="shared" si="19"/>
        <v>0</v>
      </c>
      <c r="R18" s="67">
        <f t="shared" si="19"/>
        <v>4088.88</v>
      </c>
      <c r="S18" s="67">
        <f t="shared" si="19"/>
        <v>0</v>
      </c>
      <c r="T18" s="67">
        <f t="shared" si="19"/>
        <v>1105.4549999999999</v>
      </c>
      <c r="U18" s="67">
        <f t="shared" si="19"/>
        <v>0</v>
      </c>
      <c r="V18" s="67">
        <f t="shared" si="19"/>
        <v>8.84</v>
      </c>
      <c r="W18" s="67">
        <f t="shared" si="19"/>
        <v>0</v>
      </c>
      <c r="X18" s="67">
        <f t="shared" si="19"/>
        <v>8.84</v>
      </c>
      <c r="Y18" s="67">
        <f t="shared" si="19"/>
        <v>0</v>
      </c>
      <c r="Z18" s="67">
        <f t="shared" si="19"/>
        <v>4279.88</v>
      </c>
      <c r="AA18" s="67">
        <f t="shared" si="19"/>
        <v>0</v>
      </c>
      <c r="AB18" s="67">
        <f t="shared" si="19"/>
        <v>4189.268</v>
      </c>
      <c r="AC18" s="67">
        <f t="shared" si="19"/>
        <v>0</v>
      </c>
      <c r="AD18" s="67">
        <f t="shared" si="19"/>
        <v>3909.7559999999999</v>
      </c>
      <c r="AE18" s="67">
        <f t="shared" si="19"/>
        <v>0</v>
      </c>
      <c r="AF18" s="67">
        <f t="shared" si="19"/>
        <v>4597.82</v>
      </c>
      <c r="AG18" s="67">
        <f t="shared" si="19"/>
        <v>0</v>
      </c>
      <c r="AH18" s="64"/>
      <c r="AI18" s="20"/>
    </row>
    <row r="19" spans="1:35" s="25" customFormat="1" ht="21" customHeight="1" x14ac:dyDescent="0.25">
      <c r="A19" s="373" t="s">
        <v>280</v>
      </c>
      <c r="B19" s="411" t="s">
        <v>281</v>
      </c>
      <c r="C19" s="123" t="s">
        <v>20</v>
      </c>
      <c r="D19" s="70">
        <f>D20+D21+D22+D23</f>
        <v>346463.41100000002</v>
      </c>
      <c r="E19" s="70">
        <f>E20+E21+E22+E23</f>
        <v>33002.92</v>
      </c>
      <c r="F19" s="70">
        <f>F20+F21+F22+F23</f>
        <v>86742.73000000001</v>
      </c>
      <c r="G19" s="70">
        <f>G20+G21+G22+G23</f>
        <v>86742.73000000001</v>
      </c>
      <c r="H19" s="70">
        <f t="shared" si="13"/>
        <v>25.036620677962446</v>
      </c>
      <c r="I19" s="70">
        <f t="shared" si="14"/>
        <v>262.83350079326317</v>
      </c>
      <c r="J19" s="70">
        <f t="shared" ref="J19:AF19" si="20">J20+J21+J22+J23</f>
        <v>33002.92</v>
      </c>
      <c r="K19" s="70">
        <f t="shared" si="20"/>
        <v>8284.91</v>
      </c>
      <c r="L19" s="70">
        <f t="shared" si="20"/>
        <v>30792.891</v>
      </c>
      <c r="M19" s="70">
        <f t="shared" si="20"/>
        <v>19526.420000000002</v>
      </c>
      <c r="N19" s="70">
        <f t="shared" si="20"/>
        <v>27311.174999999999</v>
      </c>
      <c r="O19" s="70">
        <f t="shared" si="20"/>
        <v>20695.099999999999</v>
      </c>
      <c r="P19" s="70">
        <f t="shared" si="20"/>
        <v>45420.217000000004</v>
      </c>
      <c r="Q19" s="70">
        <f t="shared" si="20"/>
        <v>38236.300000000003</v>
      </c>
      <c r="R19" s="70">
        <f t="shared" si="20"/>
        <v>40856.443999999996</v>
      </c>
      <c r="S19" s="70">
        <f t="shared" si="20"/>
        <v>0</v>
      </c>
      <c r="T19" s="70">
        <f t="shared" si="20"/>
        <v>34050.099000000002</v>
      </c>
      <c r="U19" s="70">
        <f t="shared" si="20"/>
        <v>0</v>
      </c>
      <c r="V19" s="70">
        <f t="shared" si="20"/>
        <v>22735.001999999997</v>
      </c>
      <c r="W19" s="70">
        <f t="shared" si="20"/>
        <v>0</v>
      </c>
      <c r="X19" s="70">
        <f t="shared" si="20"/>
        <v>18223.389999999996</v>
      </c>
      <c r="Y19" s="70">
        <f t="shared" si="20"/>
        <v>0</v>
      </c>
      <c r="Z19" s="70">
        <f t="shared" si="20"/>
        <v>21985.595999999998</v>
      </c>
      <c r="AA19" s="70">
        <f t="shared" si="20"/>
        <v>0</v>
      </c>
      <c r="AB19" s="70">
        <f t="shared" si="20"/>
        <v>21781.152999999998</v>
      </c>
      <c r="AC19" s="70">
        <f t="shared" si="20"/>
        <v>0</v>
      </c>
      <c r="AD19" s="70">
        <f t="shared" si="20"/>
        <v>20576.764999999999</v>
      </c>
      <c r="AE19" s="70">
        <f t="shared" si="20"/>
        <v>0</v>
      </c>
      <c r="AF19" s="70">
        <f t="shared" si="20"/>
        <v>29727.759000000002</v>
      </c>
      <c r="AG19" s="70">
        <f>AG20+AG21+AG22+AG23</f>
        <v>0</v>
      </c>
      <c r="AH19" s="72"/>
      <c r="AI19" s="163"/>
    </row>
    <row r="20" spans="1:35" s="21" customFormat="1" ht="23.25" hidden="1" customHeight="1" x14ac:dyDescent="0.25">
      <c r="A20" s="374"/>
      <c r="B20" s="412"/>
      <c r="C20" s="124" t="s">
        <v>52</v>
      </c>
      <c r="D20" s="74">
        <f>SUM(J20,L20,N20,P20,R20,T20,V20,X20,Z20,AB20,AD20,AF20)</f>
        <v>0</v>
      </c>
      <c r="E20" s="74">
        <f>J20</f>
        <v>0</v>
      </c>
      <c r="F20" s="74">
        <f>G20</f>
        <v>0</v>
      </c>
      <c r="G20" s="74">
        <f>SUM(K20,M20,O20,Q20,S20,U20,W20,Y20,AA20,AC20,AE20,AG20)</f>
        <v>0</v>
      </c>
      <c r="H20" s="74">
        <f t="shared" si="13"/>
        <v>0</v>
      </c>
      <c r="I20" s="74">
        <f t="shared" si="14"/>
        <v>0</v>
      </c>
      <c r="J20" s="74">
        <v>0</v>
      </c>
      <c r="K20" s="74">
        <v>0</v>
      </c>
      <c r="L20" s="74">
        <v>0</v>
      </c>
      <c r="M20" s="74">
        <v>0</v>
      </c>
      <c r="N20" s="74">
        <v>0</v>
      </c>
      <c r="O20" s="74">
        <v>0</v>
      </c>
      <c r="P20" s="74">
        <v>0</v>
      </c>
      <c r="Q20" s="74">
        <v>0</v>
      </c>
      <c r="R20" s="74">
        <v>0</v>
      </c>
      <c r="S20" s="74">
        <v>0</v>
      </c>
      <c r="T20" s="74">
        <v>0</v>
      </c>
      <c r="U20" s="74">
        <v>0</v>
      </c>
      <c r="V20" s="74">
        <v>0</v>
      </c>
      <c r="W20" s="74">
        <v>0</v>
      </c>
      <c r="X20" s="74">
        <v>0</v>
      </c>
      <c r="Y20" s="74">
        <v>0</v>
      </c>
      <c r="Z20" s="74">
        <v>0</v>
      </c>
      <c r="AA20" s="74">
        <v>0</v>
      </c>
      <c r="AB20" s="74">
        <v>0</v>
      </c>
      <c r="AC20" s="74">
        <v>0</v>
      </c>
      <c r="AD20" s="74">
        <v>0</v>
      </c>
      <c r="AE20" s="74">
        <v>0</v>
      </c>
      <c r="AF20" s="74">
        <v>0</v>
      </c>
      <c r="AG20" s="74">
        <f>AG25+AG30+AG35+AG40+AG45+AG50</f>
        <v>0</v>
      </c>
      <c r="AH20" s="60"/>
      <c r="AI20" s="23"/>
    </row>
    <row r="21" spans="1:35" s="131" customFormat="1" ht="36.75" customHeight="1" x14ac:dyDescent="0.25">
      <c r="A21" s="374"/>
      <c r="B21" s="412"/>
      <c r="C21" s="124" t="s">
        <v>22</v>
      </c>
      <c r="D21" s="74">
        <f>SUM(J21,L21,N21,P21,R21,T21,V21,X21,Z21,AB21,AD21,AF21)</f>
        <v>2804.7</v>
      </c>
      <c r="E21" s="74">
        <f>J21</f>
        <v>0</v>
      </c>
      <c r="F21" s="74">
        <f>G21</f>
        <v>0</v>
      </c>
      <c r="G21" s="74">
        <f>SUM(K21,M21,O21,Q21,S21,U21,W21,Y21,AA21,AC21,AE21,AG21)</f>
        <v>0</v>
      </c>
      <c r="H21" s="74">
        <f t="shared" si="13"/>
        <v>0</v>
      </c>
      <c r="I21" s="74">
        <f t="shared" si="14"/>
        <v>0</v>
      </c>
      <c r="J21" s="67">
        <f t="shared" ref="J21:AF21" si="21">J26+J31+J36+J41+J46+J51</f>
        <v>0</v>
      </c>
      <c r="K21" s="67">
        <f t="shared" si="21"/>
        <v>0</v>
      </c>
      <c r="L21" s="67">
        <f t="shared" si="21"/>
        <v>0</v>
      </c>
      <c r="M21" s="67">
        <f t="shared" si="21"/>
        <v>0</v>
      </c>
      <c r="N21" s="67">
        <f t="shared" si="21"/>
        <v>0</v>
      </c>
      <c r="O21" s="67">
        <f t="shared" si="21"/>
        <v>0</v>
      </c>
      <c r="P21" s="67">
        <f t="shared" si="21"/>
        <v>0</v>
      </c>
      <c r="Q21" s="67">
        <f t="shared" si="21"/>
        <v>0</v>
      </c>
      <c r="R21" s="67">
        <f t="shared" si="21"/>
        <v>2804.7</v>
      </c>
      <c r="S21" s="67">
        <f t="shared" si="21"/>
        <v>0</v>
      </c>
      <c r="T21" s="67">
        <f t="shared" si="21"/>
        <v>0</v>
      </c>
      <c r="U21" s="67">
        <f t="shared" si="21"/>
        <v>0</v>
      </c>
      <c r="V21" s="67">
        <f t="shared" si="21"/>
        <v>0</v>
      </c>
      <c r="W21" s="67">
        <f t="shared" si="21"/>
        <v>0</v>
      </c>
      <c r="X21" s="67">
        <f t="shared" si="21"/>
        <v>0</v>
      </c>
      <c r="Y21" s="67">
        <f t="shared" si="21"/>
        <v>0</v>
      </c>
      <c r="Z21" s="67">
        <f t="shared" si="21"/>
        <v>0</v>
      </c>
      <c r="AA21" s="67">
        <f t="shared" si="21"/>
        <v>0</v>
      </c>
      <c r="AB21" s="67">
        <f t="shared" si="21"/>
        <v>0</v>
      </c>
      <c r="AC21" s="67">
        <f t="shared" si="21"/>
        <v>0</v>
      </c>
      <c r="AD21" s="67">
        <f t="shared" si="21"/>
        <v>0</v>
      </c>
      <c r="AE21" s="67">
        <f t="shared" si="21"/>
        <v>0</v>
      </c>
      <c r="AF21" s="67">
        <f t="shared" si="21"/>
        <v>0</v>
      </c>
      <c r="AG21" s="67">
        <f>AG26+AG31+AG36+AG41+AG46+AG51</f>
        <v>0</v>
      </c>
      <c r="AH21" s="48"/>
      <c r="AI21" s="160"/>
    </row>
    <row r="22" spans="1:35" s="131" customFormat="1" ht="36.75" customHeight="1" x14ac:dyDescent="0.25">
      <c r="A22" s="374"/>
      <c r="B22" s="412"/>
      <c r="C22" s="124" t="s">
        <v>21</v>
      </c>
      <c r="D22" s="74">
        <f>SUM(J22,L22,N22,P22,R22,T22,V22,X22,Z22,AB22,AD22,AF22)</f>
        <v>303203.109</v>
      </c>
      <c r="E22" s="74">
        <f>J22</f>
        <v>28320.075999999997</v>
      </c>
      <c r="F22" s="74">
        <f>G22</f>
        <v>86742.73000000001</v>
      </c>
      <c r="G22" s="74">
        <f>SUM(K22,M22,O22,Q22,S22,U22,W22,Y22,AA22,AC22,AE22,AG22)</f>
        <v>86742.73000000001</v>
      </c>
      <c r="H22" s="74">
        <f t="shared" si="13"/>
        <v>28.608786462014812</v>
      </c>
      <c r="I22" s="74">
        <f t="shared" si="14"/>
        <v>306.29412858920301</v>
      </c>
      <c r="J22" s="67">
        <f t="shared" ref="J22:AF22" si="22">J27+J32+J37+J42+J47+J52</f>
        <v>28320.075999999997</v>
      </c>
      <c r="K22" s="67">
        <f t="shared" si="22"/>
        <v>8284.91</v>
      </c>
      <c r="L22" s="67">
        <f t="shared" si="22"/>
        <v>26143.170999999998</v>
      </c>
      <c r="M22" s="67">
        <f t="shared" si="22"/>
        <v>19526.420000000002</v>
      </c>
      <c r="N22" s="67">
        <f t="shared" si="22"/>
        <v>21937.07</v>
      </c>
      <c r="O22" s="67">
        <f t="shared" si="22"/>
        <v>20695.099999999999</v>
      </c>
      <c r="P22" s="67">
        <f t="shared" si="22"/>
        <v>41860.023000000001</v>
      </c>
      <c r="Q22" s="67">
        <f t="shared" si="22"/>
        <v>38236.300000000003</v>
      </c>
      <c r="R22" s="67">
        <f t="shared" si="22"/>
        <v>33962.864000000001</v>
      </c>
      <c r="S22" s="67">
        <f t="shared" si="22"/>
        <v>0</v>
      </c>
      <c r="T22" s="67">
        <f t="shared" si="22"/>
        <v>32944.644</v>
      </c>
      <c r="U22" s="67">
        <f t="shared" si="22"/>
        <v>0</v>
      </c>
      <c r="V22" s="67">
        <f t="shared" si="22"/>
        <v>22726.161999999997</v>
      </c>
      <c r="W22" s="67">
        <f t="shared" si="22"/>
        <v>0</v>
      </c>
      <c r="X22" s="67">
        <f t="shared" si="22"/>
        <v>18214.549999999996</v>
      </c>
      <c r="Y22" s="67">
        <f t="shared" si="22"/>
        <v>0</v>
      </c>
      <c r="Z22" s="67">
        <f t="shared" si="22"/>
        <v>17705.715999999997</v>
      </c>
      <c r="AA22" s="67">
        <f t="shared" si="22"/>
        <v>0</v>
      </c>
      <c r="AB22" s="67">
        <f t="shared" si="22"/>
        <v>17591.884999999998</v>
      </c>
      <c r="AC22" s="67">
        <f t="shared" si="22"/>
        <v>0</v>
      </c>
      <c r="AD22" s="67">
        <f t="shared" si="22"/>
        <v>16667.008999999998</v>
      </c>
      <c r="AE22" s="67">
        <f t="shared" si="22"/>
        <v>0</v>
      </c>
      <c r="AF22" s="67">
        <f t="shared" si="22"/>
        <v>25129.939000000002</v>
      </c>
      <c r="AG22" s="67">
        <f>AG27+AG32+AG37+AG42+AG47+AG52</f>
        <v>0</v>
      </c>
      <c r="AH22" s="48"/>
      <c r="AI22" s="160"/>
    </row>
    <row r="23" spans="1:35" s="22" customFormat="1" ht="65.25" customHeight="1" x14ac:dyDescent="0.25">
      <c r="A23" s="375"/>
      <c r="B23" s="429"/>
      <c r="C23" s="124" t="s">
        <v>279</v>
      </c>
      <c r="D23" s="74">
        <f>SUM(J23,L23,N23,P23,R23,T23,V23,X23,Z23,AB23,AD23,AF23)</f>
        <v>40455.602000000006</v>
      </c>
      <c r="E23" s="74">
        <f>J23</f>
        <v>4682.8440000000001</v>
      </c>
      <c r="F23" s="74">
        <f>G23</f>
        <v>0</v>
      </c>
      <c r="G23" s="74">
        <f>SUM(K23,M23,O23,Q23,S23,U23,W23,Y23,AA23,AC23,AE23,AG23)</f>
        <v>0</v>
      </c>
      <c r="H23" s="74">
        <f t="shared" si="13"/>
        <v>0</v>
      </c>
      <c r="I23" s="74">
        <f t="shared" si="14"/>
        <v>0</v>
      </c>
      <c r="J23" s="67">
        <f t="shared" ref="J23:AF23" si="23">J28+J33+J38+J43+J48+J53</f>
        <v>4682.8440000000001</v>
      </c>
      <c r="K23" s="67">
        <f t="shared" si="23"/>
        <v>0</v>
      </c>
      <c r="L23" s="67">
        <f t="shared" si="23"/>
        <v>4649.72</v>
      </c>
      <c r="M23" s="67">
        <f t="shared" si="23"/>
        <v>0</v>
      </c>
      <c r="N23" s="67">
        <f t="shared" si="23"/>
        <v>5374.1049999999996</v>
      </c>
      <c r="O23" s="67">
        <f t="shared" si="23"/>
        <v>0</v>
      </c>
      <c r="P23" s="67">
        <f t="shared" si="23"/>
        <v>3560.194</v>
      </c>
      <c r="Q23" s="67">
        <f t="shared" si="23"/>
        <v>0</v>
      </c>
      <c r="R23" s="67">
        <f t="shared" si="23"/>
        <v>4088.88</v>
      </c>
      <c r="S23" s="67">
        <f t="shared" si="23"/>
        <v>0</v>
      </c>
      <c r="T23" s="67">
        <f t="shared" si="23"/>
        <v>1105.4549999999999</v>
      </c>
      <c r="U23" s="67">
        <f t="shared" si="23"/>
        <v>0</v>
      </c>
      <c r="V23" s="67">
        <f t="shared" si="23"/>
        <v>8.84</v>
      </c>
      <c r="W23" s="67">
        <f t="shared" si="23"/>
        <v>0</v>
      </c>
      <c r="X23" s="67">
        <f t="shared" si="23"/>
        <v>8.84</v>
      </c>
      <c r="Y23" s="67">
        <f t="shared" si="23"/>
        <v>0</v>
      </c>
      <c r="Z23" s="67">
        <f t="shared" si="23"/>
        <v>4279.88</v>
      </c>
      <c r="AA23" s="67">
        <f t="shared" si="23"/>
        <v>0</v>
      </c>
      <c r="AB23" s="67">
        <f t="shared" si="23"/>
        <v>4189.268</v>
      </c>
      <c r="AC23" s="67">
        <f t="shared" si="23"/>
        <v>0</v>
      </c>
      <c r="AD23" s="67">
        <f t="shared" si="23"/>
        <v>3909.7559999999999</v>
      </c>
      <c r="AE23" s="67">
        <f t="shared" si="23"/>
        <v>0</v>
      </c>
      <c r="AF23" s="67">
        <f t="shared" si="23"/>
        <v>4597.82</v>
      </c>
      <c r="AG23" s="67">
        <f>AG28+AG33+AG38+AG43+AG48+AG53</f>
        <v>0</v>
      </c>
      <c r="AH23" s="64"/>
      <c r="AI23" s="20"/>
    </row>
    <row r="24" spans="1:35" s="21" customFormat="1" ht="32.25" customHeight="1" x14ac:dyDescent="0.25">
      <c r="A24" s="373"/>
      <c r="B24" s="431" t="s">
        <v>296</v>
      </c>
      <c r="C24" s="123" t="s">
        <v>20</v>
      </c>
      <c r="D24" s="70">
        <f>D25+D26+D27+D28</f>
        <v>20521.998</v>
      </c>
      <c r="E24" s="70">
        <f>E25+E26+E27+E28</f>
        <v>138.387</v>
      </c>
      <c r="F24" s="70">
        <f>F25+F26+F27+F28</f>
        <v>18539.39</v>
      </c>
      <c r="G24" s="70">
        <f>G25+G26+G27+G28</f>
        <v>18539.39</v>
      </c>
      <c r="H24" s="70">
        <f t="shared" si="13"/>
        <v>90.339108307095643</v>
      </c>
      <c r="I24" s="70">
        <f t="shared" si="14"/>
        <v>13396.771373033593</v>
      </c>
      <c r="J24" s="70">
        <f t="shared" ref="J24:AF24" si="24">J25+J26+J27+J28</f>
        <v>138.387</v>
      </c>
      <c r="K24" s="70">
        <f t="shared" si="24"/>
        <v>19.34</v>
      </c>
      <c r="L24" s="70">
        <f t="shared" si="24"/>
        <v>741.22</v>
      </c>
      <c r="M24" s="70">
        <f t="shared" si="24"/>
        <v>113.09</v>
      </c>
      <c r="N24" s="70">
        <f t="shared" si="24"/>
        <v>276.24599999999998</v>
      </c>
      <c r="O24" s="70">
        <f t="shared" si="24"/>
        <v>114.64</v>
      </c>
      <c r="P24" s="70">
        <f t="shared" si="24"/>
        <v>18248.64</v>
      </c>
      <c r="Q24" s="70">
        <f t="shared" si="24"/>
        <v>18292.32</v>
      </c>
      <c r="R24" s="70">
        <f t="shared" si="24"/>
        <v>94.355000000000004</v>
      </c>
      <c r="S24" s="70">
        <f t="shared" si="24"/>
        <v>0</v>
      </c>
      <c r="T24" s="70">
        <f t="shared" si="24"/>
        <v>0</v>
      </c>
      <c r="U24" s="70">
        <f t="shared" si="24"/>
        <v>0</v>
      </c>
      <c r="V24" s="70">
        <f t="shared" si="24"/>
        <v>0</v>
      </c>
      <c r="W24" s="70">
        <f t="shared" si="24"/>
        <v>0</v>
      </c>
      <c r="X24" s="70">
        <f t="shared" si="24"/>
        <v>165.60499999999999</v>
      </c>
      <c r="Y24" s="70">
        <f t="shared" si="24"/>
        <v>0</v>
      </c>
      <c r="Z24" s="70">
        <f t="shared" si="24"/>
        <v>163.01499999999999</v>
      </c>
      <c r="AA24" s="70">
        <f t="shared" si="24"/>
        <v>0</v>
      </c>
      <c r="AB24" s="70">
        <f t="shared" si="24"/>
        <v>504.38099999999997</v>
      </c>
      <c r="AC24" s="70">
        <f t="shared" si="24"/>
        <v>0</v>
      </c>
      <c r="AD24" s="70">
        <f t="shared" si="24"/>
        <v>190.149</v>
      </c>
      <c r="AE24" s="70">
        <f t="shared" si="24"/>
        <v>0</v>
      </c>
      <c r="AF24" s="70">
        <f t="shared" si="24"/>
        <v>0</v>
      </c>
      <c r="AG24" s="70">
        <f>AG25+AG26+AG27+AG28</f>
        <v>0</v>
      </c>
      <c r="AH24" s="60"/>
      <c r="AI24" s="23"/>
    </row>
    <row r="25" spans="1:35" s="21" customFormat="1" ht="36" hidden="1" customHeight="1" x14ac:dyDescent="0.25">
      <c r="A25" s="374"/>
      <c r="B25" s="432"/>
      <c r="C25" s="124" t="s">
        <v>52</v>
      </c>
      <c r="D25" s="74">
        <f>SUM(J25,L25,N25,P25,R25,T25,V25,X25,Z25,AB25,AD25,AF25)</f>
        <v>0</v>
      </c>
      <c r="E25" s="74">
        <f>J25</f>
        <v>0</v>
      </c>
      <c r="F25" s="74">
        <f>G25</f>
        <v>0</v>
      </c>
      <c r="G25" s="74">
        <f>SUM(K25,M25,O25,Q25,S25,U25,W25,Y25,AA25,AC25,AE25,AG25)</f>
        <v>0</v>
      </c>
      <c r="H25" s="74">
        <f t="shared" si="13"/>
        <v>0</v>
      </c>
      <c r="I25" s="74">
        <f t="shared" si="14"/>
        <v>0</v>
      </c>
      <c r="J25" s="74">
        <v>0</v>
      </c>
      <c r="K25" s="74">
        <v>0</v>
      </c>
      <c r="L25" s="74">
        <v>0</v>
      </c>
      <c r="M25" s="74">
        <v>0</v>
      </c>
      <c r="N25" s="74">
        <v>0</v>
      </c>
      <c r="O25" s="74">
        <v>0</v>
      </c>
      <c r="P25" s="74">
        <v>0</v>
      </c>
      <c r="Q25" s="74">
        <v>0</v>
      </c>
      <c r="R25" s="74">
        <v>0</v>
      </c>
      <c r="S25" s="74">
        <v>0</v>
      </c>
      <c r="T25" s="74">
        <v>0</v>
      </c>
      <c r="U25" s="74">
        <v>0</v>
      </c>
      <c r="V25" s="74">
        <v>0</v>
      </c>
      <c r="W25" s="74">
        <v>0</v>
      </c>
      <c r="X25" s="74">
        <v>0</v>
      </c>
      <c r="Y25" s="74">
        <v>0</v>
      </c>
      <c r="Z25" s="74">
        <v>0</v>
      </c>
      <c r="AA25" s="74">
        <v>0</v>
      </c>
      <c r="AB25" s="74">
        <v>0</v>
      </c>
      <c r="AC25" s="74">
        <v>0</v>
      </c>
      <c r="AD25" s="74">
        <v>0</v>
      </c>
      <c r="AE25" s="74">
        <v>0</v>
      </c>
      <c r="AF25" s="74">
        <v>0</v>
      </c>
      <c r="AG25" s="74">
        <v>0</v>
      </c>
      <c r="AH25" s="60"/>
      <c r="AI25" s="23"/>
    </row>
    <row r="26" spans="1:35" s="21" customFormat="1" ht="37.5" hidden="1" customHeight="1" x14ac:dyDescent="0.25">
      <c r="A26" s="374"/>
      <c r="B26" s="432"/>
      <c r="C26" s="124" t="s">
        <v>22</v>
      </c>
      <c r="D26" s="74">
        <f>SUM(J26,L26,N26,P26,R26,T26,V26,X26,Z26,AB26,AD26,AF26)</f>
        <v>0</v>
      </c>
      <c r="E26" s="74">
        <f>J26</f>
        <v>0</v>
      </c>
      <c r="F26" s="74">
        <f>G26</f>
        <v>0</v>
      </c>
      <c r="G26" s="74">
        <f>SUM(K26,M26,O26,Q26,S26,U26,W26,Y26,AA26,AC26,AE26,AG26)</f>
        <v>0</v>
      </c>
      <c r="H26" s="74">
        <f t="shared" si="13"/>
        <v>0</v>
      </c>
      <c r="I26" s="74">
        <f t="shared" si="14"/>
        <v>0</v>
      </c>
      <c r="J26" s="67">
        <v>0</v>
      </c>
      <c r="K26" s="67">
        <v>0</v>
      </c>
      <c r="L26" s="67">
        <v>0</v>
      </c>
      <c r="M26" s="67">
        <v>0</v>
      </c>
      <c r="N26" s="67">
        <v>0</v>
      </c>
      <c r="O26" s="67">
        <v>0</v>
      </c>
      <c r="P26" s="67">
        <v>0</v>
      </c>
      <c r="Q26" s="67">
        <v>0</v>
      </c>
      <c r="R26" s="67">
        <v>0</v>
      </c>
      <c r="S26" s="67">
        <v>0</v>
      </c>
      <c r="T26" s="67">
        <v>0</v>
      </c>
      <c r="U26" s="67">
        <v>0</v>
      </c>
      <c r="V26" s="67">
        <v>0</v>
      </c>
      <c r="W26" s="67">
        <v>0</v>
      </c>
      <c r="X26" s="67">
        <v>0</v>
      </c>
      <c r="Y26" s="67">
        <v>0</v>
      </c>
      <c r="Z26" s="67">
        <v>0</v>
      </c>
      <c r="AA26" s="67">
        <v>0</v>
      </c>
      <c r="AB26" s="67">
        <v>0</v>
      </c>
      <c r="AC26" s="67">
        <v>0</v>
      </c>
      <c r="AD26" s="67">
        <v>0</v>
      </c>
      <c r="AE26" s="67">
        <v>0</v>
      </c>
      <c r="AF26" s="67">
        <v>0</v>
      </c>
      <c r="AG26" s="67">
        <v>0</v>
      </c>
      <c r="AH26" s="60"/>
      <c r="AI26" s="23"/>
    </row>
    <row r="27" spans="1:35" s="22" customFormat="1" ht="48.75" customHeight="1" x14ac:dyDescent="0.25">
      <c r="A27" s="374"/>
      <c r="B27" s="432"/>
      <c r="C27" s="124" t="s">
        <v>21</v>
      </c>
      <c r="D27" s="74">
        <f>SUM(J27,L27,N27,P27,R27,T27,V27,X27,Z27,AB27,AD27,AF27)</f>
        <v>20521.998</v>
      </c>
      <c r="E27" s="74">
        <f>J27</f>
        <v>138.387</v>
      </c>
      <c r="F27" s="74">
        <f>G27</f>
        <v>18539.39</v>
      </c>
      <c r="G27" s="74">
        <f>SUM(K27,M27,O27,Q27,S27,U27,W27,Y27,AA27,AC27,AE27,AG27)</f>
        <v>18539.39</v>
      </c>
      <c r="H27" s="74">
        <f t="shared" si="13"/>
        <v>90.339108307095643</v>
      </c>
      <c r="I27" s="74">
        <f>IFERROR(G27/E27*100,0)</f>
        <v>13396.771373033593</v>
      </c>
      <c r="J27" s="67">
        <v>138.387</v>
      </c>
      <c r="K27" s="67">
        <v>19.34</v>
      </c>
      <c r="L27" s="67">
        <v>741.22</v>
      </c>
      <c r="M27" s="275">
        <v>113.09</v>
      </c>
      <c r="N27" s="67">
        <v>276.24599999999998</v>
      </c>
      <c r="O27" s="275">
        <v>114.64</v>
      </c>
      <c r="P27" s="67">
        <f>248.64+18000</f>
        <v>18248.64</v>
      </c>
      <c r="Q27" s="67">
        <v>18292.32</v>
      </c>
      <c r="R27" s="67">
        <v>94.355000000000004</v>
      </c>
      <c r="S27" s="67">
        <v>0</v>
      </c>
      <c r="T27" s="67">
        <v>0</v>
      </c>
      <c r="U27" s="67">
        <v>0</v>
      </c>
      <c r="V27" s="67">
        <v>0</v>
      </c>
      <c r="W27" s="67">
        <v>0</v>
      </c>
      <c r="X27" s="67">
        <v>165.60499999999999</v>
      </c>
      <c r="Y27" s="67">
        <v>0</v>
      </c>
      <c r="Z27" s="67">
        <v>163.01499999999999</v>
      </c>
      <c r="AA27" s="67">
        <v>0</v>
      </c>
      <c r="AB27" s="67">
        <v>504.38099999999997</v>
      </c>
      <c r="AC27" s="67">
        <v>0</v>
      </c>
      <c r="AD27" s="67">
        <v>190.149</v>
      </c>
      <c r="AE27" s="67">
        <v>0</v>
      </c>
      <c r="AF27" s="67">
        <v>0</v>
      </c>
      <c r="AG27" s="67">
        <v>0</v>
      </c>
      <c r="AH27" s="64"/>
      <c r="AI27" s="20"/>
    </row>
    <row r="28" spans="1:35" s="22" customFormat="1" ht="65.25" hidden="1" customHeight="1" x14ac:dyDescent="0.25">
      <c r="A28" s="437"/>
      <c r="B28" s="436"/>
      <c r="C28" s="124" t="s">
        <v>279</v>
      </c>
      <c r="D28" s="74">
        <f>SUM(J28,L28,N28,P28,R28,T28,V28,X28,Z28,AB28,AD28,AF28)</f>
        <v>0</v>
      </c>
      <c r="E28" s="74">
        <f>J28</f>
        <v>0</v>
      </c>
      <c r="F28" s="74">
        <f>G28</f>
        <v>0</v>
      </c>
      <c r="G28" s="74">
        <f>SUM(K28,M28,O28,Q28,S28,U28,W28,Y28,AA28,AC28,AE28,AG28)</f>
        <v>0</v>
      </c>
      <c r="H28" s="74">
        <f t="shared" si="13"/>
        <v>0</v>
      </c>
      <c r="I28" s="74">
        <f t="shared" si="14"/>
        <v>0</v>
      </c>
      <c r="J28" s="67">
        <v>0</v>
      </c>
      <c r="K28" s="67">
        <v>0</v>
      </c>
      <c r="L28" s="67">
        <v>0</v>
      </c>
      <c r="M28" s="67">
        <v>0</v>
      </c>
      <c r="N28" s="67">
        <v>0</v>
      </c>
      <c r="O28" s="67">
        <v>0</v>
      </c>
      <c r="P28" s="67">
        <v>0</v>
      </c>
      <c r="Q28" s="67">
        <v>0</v>
      </c>
      <c r="R28" s="67">
        <v>0</v>
      </c>
      <c r="S28" s="67">
        <v>0</v>
      </c>
      <c r="T28" s="67">
        <v>0</v>
      </c>
      <c r="U28" s="67">
        <v>0</v>
      </c>
      <c r="V28" s="67">
        <v>0</v>
      </c>
      <c r="W28" s="67">
        <v>0</v>
      </c>
      <c r="X28" s="67">
        <v>0</v>
      </c>
      <c r="Y28" s="67">
        <v>0</v>
      </c>
      <c r="Z28" s="67">
        <v>0</v>
      </c>
      <c r="AA28" s="67">
        <v>0</v>
      </c>
      <c r="AB28" s="67">
        <v>0</v>
      </c>
      <c r="AC28" s="67">
        <v>0</v>
      </c>
      <c r="AD28" s="67">
        <v>0</v>
      </c>
      <c r="AE28" s="67">
        <v>0</v>
      </c>
      <c r="AF28" s="67">
        <v>0</v>
      </c>
      <c r="AG28" s="67">
        <v>0</v>
      </c>
      <c r="AH28" s="64"/>
      <c r="AI28" s="20"/>
    </row>
    <row r="29" spans="1:35" s="21" customFormat="1" ht="24.75" customHeight="1" x14ac:dyDescent="0.25">
      <c r="A29" s="387"/>
      <c r="B29" s="431" t="s">
        <v>297</v>
      </c>
      <c r="C29" s="123" t="s">
        <v>20</v>
      </c>
      <c r="D29" s="70">
        <f>D30+D31+D32+D33</f>
        <v>314555.09299999999</v>
      </c>
      <c r="E29" s="70">
        <f t="shared" ref="E29:G29" si="25">E30+E31+E32+E33</f>
        <v>32779.167000000001</v>
      </c>
      <c r="F29" s="70">
        <f t="shared" si="25"/>
        <v>68039.42</v>
      </c>
      <c r="G29" s="70">
        <f t="shared" si="25"/>
        <v>68039.42</v>
      </c>
      <c r="H29" s="70">
        <f t="shared" si="13"/>
        <v>21.630366671570631</v>
      </c>
      <c r="I29" s="70">
        <f t="shared" si="14"/>
        <v>207.56909411395355</v>
      </c>
      <c r="J29" s="70">
        <f t="shared" ref="J29:AF29" si="26">J30+J31+J32+J33</f>
        <v>32779.167000000001</v>
      </c>
      <c r="K29" s="70">
        <f t="shared" si="26"/>
        <v>8265.57</v>
      </c>
      <c r="L29" s="70">
        <f t="shared" si="26"/>
        <v>29979.527999999998</v>
      </c>
      <c r="M29" s="70">
        <f t="shared" si="26"/>
        <v>19367.11</v>
      </c>
      <c r="N29" s="70">
        <f t="shared" si="26"/>
        <v>26513.575000000001</v>
      </c>
      <c r="O29" s="70">
        <f t="shared" si="26"/>
        <v>20547.189999999999</v>
      </c>
      <c r="P29" s="70">
        <f t="shared" si="26"/>
        <v>27055.757999999998</v>
      </c>
      <c r="Q29" s="70">
        <f t="shared" si="26"/>
        <v>19859.550000000003</v>
      </c>
      <c r="R29" s="70">
        <f t="shared" si="26"/>
        <v>37431.193999999996</v>
      </c>
      <c r="S29" s="70">
        <f t="shared" si="26"/>
        <v>0</v>
      </c>
      <c r="T29" s="70">
        <f t="shared" si="26"/>
        <v>33529.74</v>
      </c>
      <c r="U29" s="70">
        <f t="shared" si="26"/>
        <v>0</v>
      </c>
      <c r="V29" s="70">
        <f t="shared" si="26"/>
        <v>22237.188999999998</v>
      </c>
      <c r="W29" s="70">
        <f t="shared" si="26"/>
        <v>0</v>
      </c>
      <c r="X29" s="70">
        <f t="shared" si="26"/>
        <v>17548.155999999999</v>
      </c>
      <c r="Y29" s="70">
        <f t="shared" si="26"/>
        <v>0</v>
      </c>
      <c r="Z29" s="70">
        <f t="shared" si="26"/>
        <v>21779.213</v>
      </c>
      <c r="AA29" s="70">
        <f t="shared" si="26"/>
        <v>0</v>
      </c>
      <c r="AB29" s="70">
        <f t="shared" si="26"/>
        <v>21208.429</v>
      </c>
      <c r="AC29" s="70">
        <f t="shared" si="26"/>
        <v>0</v>
      </c>
      <c r="AD29" s="70">
        <f t="shared" si="26"/>
        <v>20351.248</v>
      </c>
      <c r="AE29" s="70">
        <f t="shared" si="26"/>
        <v>0</v>
      </c>
      <c r="AF29" s="70">
        <f t="shared" si="26"/>
        <v>24141.896000000001</v>
      </c>
      <c r="AG29" s="70">
        <f>AG30+AG31+AG32+AG33</f>
        <v>0</v>
      </c>
      <c r="AH29" s="48"/>
      <c r="AI29" s="23"/>
    </row>
    <row r="30" spans="1:35" s="21" customFormat="1" ht="42.75" hidden="1" customHeight="1" x14ac:dyDescent="0.25">
      <c r="A30" s="383"/>
      <c r="B30" s="432"/>
      <c r="C30" s="124" t="s">
        <v>52</v>
      </c>
      <c r="D30" s="74">
        <f>SUM(J30,L30,N30,P30,R30,T30,V30,X30,Z30,AB30,AD30,AF30)</f>
        <v>0</v>
      </c>
      <c r="E30" s="74">
        <f>J30</f>
        <v>0</v>
      </c>
      <c r="F30" s="74">
        <f>G30</f>
        <v>0</v>
      </c>
      <c r="G30" s="74">
        <f>SUM(K30,M30,O30,Q30,S30,U30,W30,Y30,AA30,AC30,AE30,AG30)</f>
        <v>0</v>
      </c>
      <c r="H30" s="74">
        <f t="shared" si="13"/>
        <v>0</v>
      </c>
      <c r="I30" s="74">
        <f t="shared" si="14"/>
        <v>0</v>
      </c>
      <c r="J30" s="74">
        <v>0</v>
      </c>
      <c r="K30" s="74">
        <v>0</v>
      </c>
      <c r="L30" s="74">
        <v>0</v>
      </c>
      <c r="M30" s="74">
        <v>0</v>
      </c>
      <c r="N30" s="74">
        <v>0</v>
      </c>
      <c r="O30" s="74">
        <v>0</v>
      </c>
      <c r="P30" s="74">
        <v>0</v>
      </c>
      <c r="Q30" s="74">
        <v>0</v>
      </c>
      <c r="R30" s="74">
        <v>0</v>
      </c>
      <c r="S30" s="74">
        <v>0</v>
      </c>
      <c r="T30" s="74">
        <v>0</v>
      </c>
      <c r="U30" s="74">
        <v>0</v>
      </c>
      <c r="V30" s="74">
        <v>0</v>
      </c>
      <c r="W30" s="74">
        <v>0</v>
      </c>
      <c r="X30" s="74">
        <v>0</v>
      </c>
      <c r="Y30" s="74">
        <v>0</v>
      </c>
      <c r="Z30" s="74">
        <v>0</v>
      </c>
      <c r="AA30" s="74">
        <v>0</v>
      </c>
      <c r="AB30" s="74">
        <v>0</v>
      </c>
      <c r="AC30" s="74">
        <v>0</v>
      </c>
      <c r="AD30" s="74">
        <v>0</v>
      </c>
      <c r="AE30" s="74">
        <v>0</v>
      </c>
      <c r="AF30" s="74">
        <v>0</v>
      </c>
      <c r="AG30" s="74">
        <v>0</v>
      </c>
      <c r="AH30" s="60"/>
      <c r="AI30" s="23"/>
    </row>
    <row r="31" spans="1:35" s="21" customFormat="1" ht="48" hidden="1" customHeight="1" x14ac:dyDescent="0.25">
      <c r="A31" s="383"/>
      <c r="B31" s="432"/>
      <c r="C31" s="124" t="s">
        <v>22</v>
      </c>
      <c r="D31" s="74">
        <f>SUM(J31,L31,N31,P31,R31,T31,V31,X31,Z31,AB31,AD31,AF31)</f>
        <v>0</v>
      </c>
      <c r="E31" s="74">
        <f>J31</f>
        <v>0</v>
      </c>
      <c r="F31" s="74">
        <f>G31</f>
        <v>0</v>
      </c>
      <c r="G31" s="74">
        <f>SUM(K31,M31,O31,Q31,S31,U31,W31,Y31,AA31,AC31,AE31,AG31)</f>
        <v>0</v>
      </c>
      <c r="H31" s="74">
        <f t="shared" si="13"/>
        <v>0</v>
      </c>
      <c r="I31" s="74">
        <f t="shared" si="14"/>
        <v>0</v>
      </c>
      <c r="J31" s="67">
        <v>0</v>
      </c>
      <c r="K31" s="67">
        <v>0</v>
      </c>
      <c r="L31" s="67">
        <v>0</v>
      </c>
      <c r="M31" s="67">
        <v>0</v>
      </c>
      <c r="N31" s="67">
        <v>0</v>
      </c>
      <c r="O31" s="67">
        <v>0</v>
      </c>
      <c r="P31" s="67">
        <v>0</v>
      </c>
      <c r="Q31" s="67">
        <v>0</v>
      </c>
      <c r="R31" s="67">
        <v>0</v>
      </c>
      <c r="S31" s="67">
        <v>0</v>
      </c>
      <c r="T31" s="67">
        <v>0</v>
      </c>
      <c r="U31" s="67">
        <v>0</v>
      </c>
      <c r="V31" s="67">
        <v>0</v>
      </c>
      <c r="W31" s="67">
        <v>0</v>
      </c>
      <c r="X31" s="67">
        <v>0</v>
      </c>
      <c r="Y31" s="67">
        <v>0</v>
      </c>
      <c r="Z31" s="67">
        <v>0</v>
      </c>
      <c r="AA31" s="67">
        <v>0</v>
      </c>
      <c r="AB31" s="67">
        <v>0</v>
      </c>
      <c r="AC31" s="67">
        <v>0</v>
      </c>
      <c r="AD31" s="67">
        <v>0</v>
      </c>
      <c r="AE31" s="67">
        <v>0</v>
      </c>
      <c r="AF31" s="67">
        <v>0</v>
      </c>
      <c r="AG31" s="67">
        <v>0</v>
      </c>
      <c r="AH31" s="60"/>
      <c r="AI31" s="23"/>
    </row>
    <row r="32" spans="1:35" s="21" customFormat="1" ht="48" customHeight="1" x14ac:dyDescent="0.25">
      <c r="A32" s="383"/>
      <c r="B32" s="432"/>
      <c r="C32" s="124" t="s">
        <v>21</v>
      </c>
      <c r="D32" s="74">
        <f>SUM(J32,L32,N32,P32,R32,T32,V32,X32,Z32,AB32,AD32,AF32)</f>
        <v>274099.49099999998</v>
      </c>
      <c r="E32" s="74">
        <f>J32</f>
        <v>28096.323</v>
      </c>
      <c r="F32" s="74">
        <f>G32</f>
        <v>68039.42</v>
      </c>
      <c r="G32" s="74">
        <f>SUM(K32,M32,O32,Q32,S32,U32,W32,Y32,AA32,AC32,AE32,AG32)</f>
        <v>68039.42</v>
      </c>
      <c r="H32" s="74">
        <f t="shared" si="13"/>
        <v>24.822891772535254</v>
      </c>
      <c r="I32" s="74">
        <f t="shared" si="14"/>
        <v>242.16485552219766</v>
      </c>
      <c r="J32" s="67">
        <f>18103.863+9992.46</f>
        <v>28096.323</v>
      </c>
      <c r="K32" s="67">
        <v>8265.57</v>
      </c>
      <c r="L32" s="67">
        <f>19335.834+5993.974</f>
        <v>25329.807999999997</v>
      </c>
      <c r="M32" s="276">
        <v>19367.11</v>
      </c>
      <c r="N32" s="67">
        <f>14786.868+6352.602</f>
        <v>21139.47</v>
      </c>
      <c r="O32" s="67">
        <v>20547.189999999999</v>
      </c>
      <c r="P32" s="67">
        <f>16299.542+7196.022</f>
        <v>23495.563999999998</v>
      </c>
      <c r="Q32" s="67">
        <f>12114.04+7745.51</f>
        <v>19859.550000000003</v>
      </c>
      <c r="R32" s="67">
        <f>21281.203+12061.111</f>
        <v>33342.313999999998</v>
      </c>
      <c r="S32" s="67">
        <v>0</v>
      </c>
      <c r="T32" s="67">
        <f>14173.817+18250.468</f>
        <v>32424.285</v>
      </c>
      <c r="U32" s="67">
        <v>0</v>
      </c>
      <c r="V32" s="67">
        <f>14405.061+7823.288</f>
        <v>22228.348999999998</v>
      </c>
      <c r="W32" s="67">
        <v>0</v>
      </c>
      <c r="X32" s="67">
        <f>13860.501+3678.815</f>
        <v>17539.315999999999</v>
      </c>
      <c r="Y32" s="67">
        <v>0</v>
      </c>
      <c r="Z32" s="67">
        <f>9913.031+7586.302</f>
        <v>17499.332999999999</v>
      </c>
      <c r="AA32" s="67">
        <v>0</v>
      </c>
      <c r="AB32" s="67">
        <f>10650.361+6368.8</f>
        <v>17019.161</v>
      </c>
      <c r="AC32" s="67">
        <v>0</v>
      </c>
      <c r="AD32" s="67">
        <f>9433.743+7007.749</f>
        <v>16441.491999999998</v>
      </c>
      <c r="AE32" s="67">
        <v>0</v>
      </c>
      <c r="AF32" s="67">
        <f>10376.512+9167.564</f>
        <v>19544.076000000001</v>
      </c>
      <c r="AG32" s="67">
        <v>0</v>
      </c>
      <c r="AH32" s="60"/>
      <c r="AI32" s="23"/>
    </row>
    <row r="33" spans="1:35" s="22" customFormat="1" ht="45" customHeight="1" x14ac:dyDescent="0.25">
      <c r="A33" s="388"/>
      <c r="B33" s="433"/>
      <c r="C33" s="124" t="s">
        <v>279</v>
      </c>
      <c r="D33" s="74">
        <f>SUM(J33,L33,N33,P33,R33,T33,V33,X33,Z33,AB33,AD33,AF33)</f>
        <v>40455.602000000006</v>
      </c>
      <c r="E33" s="74">
        <f>J33</f>
        <v>4682.8440000000001</v>
      </c>
      <c r="F33" s="74">
        <f>G33</f>
        <v>0</v>
      </c>
      <c r="G33" s="74">
        <f>SUM(K33,M33,O33,Q33,S33,U33,W33,Y33,AA33,AC33,AE33,AG33)</f>
        <v>0</v>
      </c>
      <c r="H33" s="74">
        <f t="shared" si="13"/>
        <v>0</v>
      </c>
      <c r="I33" s="74">
        <f t="shared" si="14"/>
        <v>0</v>
      </c>
      <c r="J33" s="67">
        <v>4682.8440000000001</v>
      </c>
      <c r="K33" s="67">
        <v>0</v>
      </c>
      <c r="L33" s="67">
        <v>4649.72</v>
      </c>
      <c r="M33" s="67">
        <v>0</v>
      </c>
      <c r="N33" s="67">
        <v>5374.1049999999996</v>
      </c>
      <c r="O33" s="67">
        <v>0</v>
      </c>
      <c r="P33" s="67">
        <v>3560.194</v>
      </c>
      <c r="Q33" s="67">
        <v>0</v>
      </c>
      <c r="R33" s="67">
        <v>4088.88</v>
      </c>
      <c r="S33" s="67">
        <v>0</v>
      </c>
      <c r="T33" s="67">
        <v>1105.4549999999999</v>
      </c>
      <c r="U33" s="67">
        <v>0</v>
      </c>
      <c r="V33" s="67">
        <v>8.84</v>
      </c>
      <c r="W33" s="67">
        <v>0</v>
      </c>
      <c r="X33" s="67">
        <v>8.84</v>
      </c>
      <c r="Y33" s="67">
        <v>0</v>
      </c>
      <c r="Z33" s="67">
        <v>4279.88</v>
      </c>
      <c r="AA33" s="67">
        <v>0</v>
      </c>
      <c r="AB33" s="67">
        <v>4189.268</v>
      </c>
      <c r="AC33" s="67">
        <v>0</v>
      </c>
      <c r="AD33" s="67">
        <v>3909.7559999999999</v>
      </c>
      <c r="AE33" s="67">
        <v>0</v>
      </c>
      <c r="AF33" s="67">
        <v>4597.82</v>
      </c>
      <c r="AG33" s="67">
        <v>0</v>
      </c>
      <c r="AH33" s="64"/>
      <c r="AI33" s="20"/>
    </row>
    <row r="34" spans="1:35" s="21" customFormat="1" ht="39.75" customHeight="1" x14ac:dyDescent="0.25">
      <c r="A34" s="387"/>
      <c r="B34" s="431" t="s">
        <v>298</v>
      </c>
      <c r="C34" s="123" t="s">
        <v>20</v>
      </c>
      <c r="D34" s="70">
        <f>D35+D36+D37+D38</f>
        <v>386.00099999999998</v>
      </c>
      <c r="E34" s="70">
        <f t="shared" ref="E34:G34" si="27">E35+E36+E37+E38</f>
        <v>62.82</v>
      </c>
      <c r="F34" s="70">
        <f t="shared" si="27"/>
        <v>54.89</v>
      </c>
      <c r="G34" s="70">
        <f t="shared" si="27"/>
        <v>54.89</v>
      </c>
      <c r="H34" s="70">
        <f t="shared" si="13"/>
        <v>14.220170414066285</v>
      </c>
      <c r="I34" s="70">
        <f t="shared" si="14"/>
        <v>87.376631645972623</v>
      </c>
      <c r="J34" s="70">
        <f t="shared" ref="J34:AF34" si="28">J35+J36+J37+J38</f>
        <v>62.82</v>
      </c>
      <c r="K34" s="70">
        <f t="shared" si="28"/>
        <v>0</v>
      </c>
      <c r="L34" s="70">
        <f t="shared" si="28"/>
        <v>49.597000000000001</v>
      </c>
      <c r="M34" s="70">
        <f t="shared" si="28"/>
        <v>18.63</v>
      </c>
      <c r="N34" s="70">
        <f t="shared" si="28"/>
        <v>20.422000000000001</v>
      </c>
      <c r="O34" s="70">
        <f t="shared" si="28"/>
        <v>16.53</v>
      </c>
      <c r="P34" s="70">
        <f t="shared" si="28"/>
        <v>84.972999999999999</v>
      </c>
      <c r="Q34" s="70">
        <f t="shared" si="28"/>
        <v>19.73</v>
      </c>
      <c r="R34" s="70">
        <f t="shared" si="28"/>
        <v>12.821999999999999</v>
      </c>
      <c r="S34" s="70">
        <f t="shared" si="28"/>
        <v>0</v>
      </c>
      <c r="T34" s="70">
        <f t="shared" si="28"/>
        <v>12.821999999999999</v>
      </c>
      <c r="U34" s="70">
        <f t="shared" si="28"/>
        <v>0</v>
      </c>
      <c r="V34" s="70">
        <f t="shared" si="28"/>
        <v>12.821999999999999</v>
      </c>
      <c r="W34" s="70">
        <f t="shared" si="28"/>
        <v>0</v>
      </c>
      <c r="X34" s="70">
        <f t="shared" si="28"/>
        <v>24.638000000000002</v>
      </c>
      <c r="Y34" s="70">
        <f t="shared" si="28"/>
        <v>0</v>
      </c>
      <c r="Z34" s="70">
        <f t="shared" si="28"/>
        <v>20.821999999999999</v>
      </c>
      <c r="AA34" s="70">
        <f t="shared" si="28"/>
        <v>0</v>
      </c>
      <c r="AB34" s="70">
        <f t="shared" si="28"/>
        <v>45.796999999999997</v>
      </c>
      <c r="AC34" s="70">
        <f t="shared" si="28"/>
        <v>0</v>
      </c>
      <c r="AD34" s="70">
        <f t="shared" si="28"/>
        <v>12.821999999999999</v>
      </c>
      <c r="AE34" s="70">
        <f t="shared" si="28"/>
        <v>0</v>
      </c>
      <c r="AF34" s="70">
        <f t="shared" si="28"/>
        <v>25.643999999999998</v>
      </c>
      <c r="AG34" s="70">
        <f>AG35+AG36+AG37+AG38</f>
        <v>0</v>
      </c>
      <c r="AH34" s="48"/>
      <c r="AI34" s="23"/>
    </row>
    <row r="35" spans="1:35" s="21" customFormat="1" ht="42.75" hidden="1" customHeight="1" x14ac:dyDescent="0.25">
      <c r="A35" s="383"/>
      <c r="B35" s="432"/>
      <c r="C35" s="124" t="s">
        <v>52</v>
      </c>
      <c r="D35" s="74">
        <f>SUM(J35,L35,N35,P35,R35,T35,V35,X35,Z35,AB35,AD35,AF35)</f>
        <v>0</v>
      </c>
      <c r="E35" s="74">
        <f>J35</f>
        <v>0</v>
      </c>
      <c r="F35" s="74">
        <f>G35</f>
        <v>0</v>
      </c>
      <c r="G35" s="74">
        <f>SUM(K35,M35,O35,Q35,S35,U35,W35,Y35,AA35,AC35,AE35,AG35)</f>
        <v>0</v>
      </c>
      <c r="H35" s="74">
        <f t="shared" si="13"/>
        <v>0</v>
      </c>
      <c r="I35" s="74">
        <f t="shared" si="14"/>
        <v>0</v>
      </c>
      <c r="J35" s="74">
        <v>0</v>
      </c>
      <c r="K35" s="74">
        <v>0</v>
      </c>
      <c r="L35" s="74">
        <v>0</v>
      </c>
      <c r="M35" s="74">
        <v>0</v>
      </c>
      <c r="N35" s="74">
        <v>0</v>
      </c>
      <c r="O35" s="74">
        <v>0</v>
      </c>
      <c r="P35" s="74">
        <v>0</v>
      </c>
      <c r="Q35" s="74">
        <v>0</v>
      </c>
      <c r="R35" s="74">
        <v>0</v>
      </c>
      <c r="S35" s="74">
        <v>0</v>
      </c>
      <c r="T35" s="74">
        <v>0</v>
      </c>
      <c r="U35" s="74">
        <v>0</v>
      </c>
      <c r="V35" s="74">
        <v>0</v>
      </c>
      <c r="W35" s="74">
        <v>0</v>
      </c>
      <c r="X35" s="74">
        <v>0</v>
      </c>
      <c r="Y35" s="74">
        <v>0</v>
      </c>
      <c r="Z35" s="74">
        <v>0</v>
      </c>
      <c r="AA35" s="74">
        <v>0</v>
      </c>
      <c r="AB35" s="74">
        <v>0</v>
      </c>
      <c r="AC35" s="74">
        <v>0</v>
      </c>
      <c r="AD35" s="74">
        <v>0</v>
      </c>
      <c r="AE35" s="74">
        <v>0</v>
      </c>
      <c r="AF35" s="74">
        <v>0</v>
      </c>
      <c r="AG35" s="74">
        <v>0</v>
      </c>
      <c r="AH35" s="60"/>
      <c r="AI35" s="23"/>
    </row>
    <row r="36" spans="1:35" s="21" customFormat="1" ht="48" hidden="1" customHeight="1" x14ac:dyDescent="0.25">
      <c r="A36" s="383"/>
      <c r="B36" s="432"/>
      <c r="C36" s="124" t="s">
        <v>22</v>
      </c>
      <c r="D36" s="74">
        <f>SUM(J36,L36,N36,P36,R36,T36,V36,X36,Z36,AB36,AD36,AF36)</f>
        <v>0</v>
      </c>
      <c r="E36" s="74">
        <f>J36</f>
        <v>0</v>
      </c>
      <c r="F36" s="74">
        <f>G36</f>
        <v>0</v>
      </c>
      <c r="G36" s="74">
        <f>SUM(K36,M36,O36,Q36,S36,U36,W36,Y36,AA36,AC36,AE36,AG36)</f>
        <v>0</v>
      </c>
      <c r="H36" s="74">
        <f t="shared" si="13"/>
        <v>0</v>
      </c>
      <c r="I36" s="74">
        <f t="shared" si="14"/>
        <v>0</v>
      </c>
      <c r="J36" s="67">
        <v>0</v>
      </c>
      <c r="K36" s="67">
        <v>0</v>
      </c>
      <c r="L36" s="67">
        <v>0</v>
      </c>
      <c r="M36" s="67">
        <v>0</v>
      </c>
      <c r="N36" s="67">
        <v>0</v>
      </c>
      <c r="O36" s="67">
        <v>0</v>
      </c>
      <c r="P36" s="67">
        <v>0</v>
      </c>
      <c r="Q36" s="67">
        <v>0</v>
      </c>
      <c r="R36" s="67">
        <v>0</v>
      </c>
      <c r="S36" s="67">
        <v>0</v>
      </c>
      <c r="T36" s="67">
        <v>0</v>
      </c>
      <c r="U36" s="67">
        <v>0</v>
      </c>
      <c r="V36" s="67">
        <v>0</v>
      </c>
      <c r="W36" s="67">
        <v>0</v>
      </c>
      <c r="X36" s="67">
        <v>0</v>
      </c>
      <c r="Y36" s="67">
        <v>0</v>
      </c>
      <c r="Z36" s="67">
        <v>0</v>
      </c>
      <c r="AA36" s="67">
        <v>0</v>
      </c>
      <c r="AB36" s="67">
        <v>0</v>
      </c>
      <c r="AC36" s="67">
        <v>0</v>
      </c>
      <c r="AD36" s="67">
        <v>0</v>
      </c>
      <c r="AE36" s="67">
        <v>0</v>
      </c>
      <c r="AF36" s="67">
        <v>0</v>
      </c>
      <c r="AG36" s="67">
        <v>0</v>
      </c>
      <c r="AH36" s="60"/>
      <c r="AI36" s="23"/>
    </row>
    <row r="37" spans="1:35" s="21" customFormat="1" ht="48" customHeight="1" x14ac:dyDescent="0.25">
      <c r="A37" s="383"/>
      <c r="B37" s="432"/>
      <c r="C37" s="124" t="s">
        <v>21</v>
      </c>
      <c r="D37" s="74">
        <f>SUM(J37,L37,N37,P37,R37,T37,V37,X37,Z37,AB37,AD37,AF37)</f>
        <v>386.00099999999998</v>
      </c>
      <c r="E37" s="74">
        <f>J37</f>
        <v>62.82</v>
      </c>
      <c r="F37" s="74">
        <f>G37</f>
        <v>54.89</v>
      </c>
      <c r="G37" s="74">
        <f>SUM(K37,M37,O37,Q37,S37,U37,W37,Y37,AA37,AC37,AE37,AG37)</f>
        <v>54.89</v>
      </c>
      <c r="H37" s="74">
        <f t="shared" si="13"/>
        <v>14.220170414066285</v>
      </c>
      <c r="I37" s="74">
        <f t="shared" si="14"/>
        <v>87.376631645972623</v>
      </c>
      <c r="J37" s="67">
        <v>62.82</v>
      </c>
      <c r="K37" s="67">
        <v>0</v>
      </c>
      <c r="L37" s="67">
        <v>49.597000000000001</v>
      </c>
      <c r="M37" s="275">
        <v>18.63</v>
      </c>
      <c r="N37" s="67">
        <v>20.422000000000001</v>
      </c>
      <c r="O37" s="67">
        <v>16.53</v>
      </c>
      <c r="P37" s="67">
        <v>84.972999999999999</v>
      </c>
      <c r="Q37" s="67">
        <v>19.73</v>
      </c>
      <c r="R37" s="67">
        <v>12.821999999999999</v>
      </c>
      <c r="S37" s="67">
        <v>0</v>
      </c>
      <c r="T37" s="67">
        <v>12.821999999999999</v>
      </c>
      <c r="U37" s="67">
        <v>0</v>
      </c>
      <c r="V37" s="67">
        <v>12.821999999999999</v>
      </c>
      <c r="W37" s="67">
        <v>0</v>
      </c>
      <c r="X37" s="67">
        <v>24.638000000000002</v>
      </c>
      <c r="Y37" s="67">
        <v>0</v>
      </c>
      <c r="Z37" s="67">
        <v>20.821999999999999</v>
      </c>
      <c r="AA37" s="67">
        <v>0</v>
      </c>
      <c r="AB37" s="161">
        <v>45.796999999999997</v>
      </c>
      <c r="AC37" s="67">
        <v>0</v>
      </c>
      <c r="AD37" s="67">
        <v>12.821999999999999</v>
      </c>
      <c r="AE37" s="67">
        <v>0</v>
      </c>
      <c r="AF37" s="67">
        <v>25.643999999999998</v>
      </c>
      <c r="AG37" s="67">
        <v>0</v>
      </c>
      <c r="AH37" s="60"/>
      <c r="AI37" s="23"/>
    </row>
    <row r="38" spans="1:35" s="22" customFormat="1" ht="45" hidden="1" customHeight="1" x14ac:dyDescent="0.25">
      <c r="A38" s="388"/>
      <c r="B38" s="433"/>
      <c r="C38" s="124" t="s">
        <v>279</v>
      </c>
      <c r="D38" s="74">
        <f>SUM(J38,L38,N38,P38,R38,T38,V38,X38,Z38,AB38,AD38,AF38)</f>
        <v>0</v>
      </c>
      <c r="E38" s="74">
        <f>J38</f>
        <v>0</v>
      </c>
      <c r="F38" s="74">
        <f>G38</f>
        <v>0</v>
      </c>
      <c r="G38" s="74">
        <f>SUM(K38,M38,O38,Q38,S38,U38,W38,Y38,AA38,AC38,AE38,AG38)</f>
        <v>0</v>
      </c>
      <c r="H38" s="74">
        <f t="shared" si="13"/>
        <v>0</v>
      </c>
      <c r="I38" s="74">
        <f t="shared" si="14"/>
        <v>0</v>
      </c>
      <c r="J38" s="67">
        <v>0</v>
      </c>
      <c r="K38" s="67">
        <v>0</v>
      </c>
      <c r="L38" s="67">
        <v>0</v>
      </c>
      <c r="M38" s="67">
        <v>0</v>
      </c>
      <c r="N38" s="67">
        <v>0</v>
      </c>
      <c r="O38" s="67">
        <v>0</v>
      </c>
      <c r="P38" s="67">
        <v>0</v>
      </c>
      <c r="Q38" s="67">
        <v>0</v>
      </c>
      <c r="R38" s="67">
        <v>0</v>
      </c>
      <c r="S38" s="67">
        <v>0</v>
      </c>
      <c r="T38" s="67">
        <v>0</v>
      </c>
      <c r="U38" s="67">
        <v>0</v>
      </c>
      <c r="V38" s="67">
        <v>0</v>
      </c>
      <c r="W38" s="67">
        <v>0</v>
      </c>
      <c r="X38" s="67">
        <v>0</v>
      </c>
      <c r="Y38" s="67">
        <v>0</v>
      </c>
      <c r="Z38" s="67">
        <v>0</v>
      </c>
      <c r="AA38" s="67">
        <v>0</v>
      </c>
      <c r="AB38" s="67">
        <v>0</v>
      </c>
      <c r="AC38" s="67">
        <v>0</v>
      </c>
      <c r="AD38" s="67">
        <v>0</v>
      </c>
      <c r="AE38" s="67">
        <v>0</v>
      </c>
      <c r="AF38" s="67">
        <v>0</v>
      </c>
      <c r="AG38" s="67">
        <v>0</v>
      </c>
      <c r="AH38" s="64"/>
      <c r="AI38" s="20"/>
    </row>
    <row r="39" spans="1:35" s="21" customFormat="1" ht="24.75" customHeight="1" x14ac:dyDescent="0.25">
      <c r="A39" s="387"/>
      <c r="B39" s="431" t="s">
        <v>299</v>
      </c>
      <c r="C39" s="123" t="s">
        <v>20</v>
      </c>
      <c r="D39" s="70">
        <f>D40+D41+D42+D43</f>
        <v>8.3000000000000007</v>
      </c>
      <c r="E39" s="70">
        <f>E40+E41+E42+E43</f>
        <v>0</v>
      </c>
      <c r="F39" s="70">
        <f>F40+F41+F42+F43</f>
        <v>0</v>
      </c>
      <c r="G39" s="70">
        <f>G40+G41+G42+G43</f>
        <v>0</v>
      </c>
      <c r="H39" s="70">
        <f t="shared" si="13"/>
        <v>0</v>
      </c>
      <c r="I39" s="70">
        <f t="shared" si="14"/>
        <v>0</v>
      </c>
      <c r="J39" s="70">
        <f t="shared" ref="J39:AG39" si="29">J40+J41+J42+J43</f>
        <v>0</v>
      </c>
      <c r="K39" s="70">
        <f t="shared" si="29"/>
        <v>0</v>
      </c>
      <c r="L39" s="70">
        <f t="shared" si="29"/>
        <v>0</v>
      </c>
      <c r="M39" s="70">
        <f t="shared" si="29"/>
        <v>0</v>
      </c>
      <c r="N39" s="70">
        <f t="shared" si="29"/>
        <v>0</v>
      </c>
      <c r="O39" s="70">
        <f t="shared" si="29"/>
        <v>0</v>
      </c>
      <c r="P39" s="70">
        <f t="shared" si="29"/>
        <v>8.3000000000000007</v>
      </c>
      <c r="Q39" s="70">
        <f t="shared" si="29"/>
        <v>0</v>
      </c>
      <c r="R39" s="70">
        <f t="shared" si="29"/>
        <v>0</v>
      </c>
      <c r="S39" s="70">
        <f t="shared" si="29"/>
        <v>0</v>
      </c>
      <c r="T39" s="70">
        <f t="shared" si="29"/>
        <v>0</v>
      </c>
      <c r="U39" s="70">
        <f t="shared" si="29"/>
        <v>0</v>
      </c>
      <c r="V39" s="70">
        <f t="shared" si="29"/>
        <v>0</v>
      </c>
      <c r="W39" s="70">
        <f t="shared" si="29"/>
        <v>0</v>
      </c>
      <c r="X39" s="70">
        <f t="shared" si="29"/>
        <v>0</v>
      </c>
      <c r="Y39" s="70">
        <f t="shared" si="29"/>
        <v>0</v>
      </c>
      <c r="Z39" s="70">
        <f t="shared" si="29"/>
        <v>0</v>
      </c>
      <c r="AA39" s="70">
        <f t="shared" si="29"/>
        <v>0</v>
      </c>
      <c r="AB39" s="70">
        <f t="shared" si="29"/>
        <v>0</v>
      </c>
      <c r="AC39" s="70">
        <f t="shared" si="29"/>
        <v>0</v>
      </c>
      <c r="AD39" s="70">
        <f t="shared" si="29"/>
        <v>0</v>
      </c>
      <c r="AE39" s="70">
        <f t="shared" si="29"/>
        <v>0</v>
      </c>
      <c r="AF39" s="70">
        <f t="shared" si="29"/>
        <v>0</v>
      </c>
      <c r="AG39" s="70">
        <f t="shared" si="29"/>
        <v>0</v>
      </c>
      <c r="AH39" s="48"/>
      <c r="AI39" s="23"/>
    </row>
    <row r="40" spans="1:35" s="21" customFormat="1" ht="42.75" hidden="1" customHeight="1" x14ac:dyDescent="0.25">
      <c r="A40" s="383"/>
      <c r="B40" s="432"/>
      <c r="C40" s="124" t="s">
        <v>52</v>
      </c>
      <c r="D40" s="74">
        <f>SUM(J40,L40,N40,P40,R40,T40,V40,X40,Z40,AB40,AD40,AF40)</f>
        <v>0</v>
      </c>
      <c r="E40" s="74">
        <f>J40</f>
        <v>0</v>
      </c>
      <c r="F40" s="74">
        <f>G40</f>
        <v>0</v>
      </c>
      <c r="G40" s="74">
        <f>SUM(K40,M40,O40,Q40,S40,U40,W40,Y40,AA40,AC40,AE40,AG40)</f>
        <v>0</v>
      </c>
      <c r="H40" s="74">
        <f t="shared" si="13"/>
        <v>0</v>
      </c>
      <c r="I40" s="74">
        <f t="shared" si="14"/>
        <v>0</v>
      </c>
      <c r="J40" s="74">
        <v>0</v>
      </c>
      <c r="K40" s="74">
        <v>0</v>
      </c>
      <c r="L40" s="74">
        <v>0</v>
      </c>
      <c r="M40" s="74">
        <v>0</v>
      </c>
      <c r="N40" s="74">
        <v>0</v>
      </c>
      <c r="O40" s="74">
        <v>0</v>
      </c>
      <c r="P40" s="74">
        <v>0</v>
      </c>
      <c r="Q40" s="74">
        <v>0</v>
      </c>
      <c r="R40" s="74">
        <v>0</v>
      </c>
      <c r="S40" s="74">
        <v>0</v>
      </c>
      <c r="T40" s="74">
        <v>0</v>
      </c>
      <c r="U40" s="74">
        <v>0</v>
      </c>
      <c r="V40" s="74">
        <v>0</v>
      </c>
      <c r="W40" s="74">
        <v>0</v>
      </c>
      <c r="X40" s="74">
        <v>0</v>
      </c>
      <c r="Y40" s="74">
        <v>0</v>
      </c>
      <c r="Z40" s="74">
        <v>0</v>
      </c>
      <c r="AA40" s="74">
        <v>0</v>
      </c>
      <c r="AB40" s="74">
        <v>0</v>
      </c>
      <c r="AC40" s="74">
        <v>0</v>
      </c>
      <c r="AD40" s="74">
        <v>0</v>
      </c>
      <c r="AE40" s="74">
        <v>0</v>
      </c>
      <c r="AF40" s="74">
        <v>0</v>
      </c>
      <c r="AG40" s="74">
        <v>0</v>
      </c>
      <c r="AH40" s="60"/>
      <c r="AI40" s="23"/>
    </row>
    <row r="41" spans="1:35" s="21" customFormat="1" ht="48" hidden="1" customHeight="1" x14ac:dyDescent="0.25">
      <c r="A41" s="383"/>
      <c r="B41" s="432"/>
      <c r="C41" s="124" t="s">
        <v>22</v>
      </c>
      <c r="D41" s="74">
        <f>SUM(J41,L41,N41,P41,R41,T41,V41,X41,Z41,AB41,AD41,AF41)</f>
        <v>0</v>
      </c>
      <c r="E41" s="74">
        <f>J41</f>
        <v>0</v>
      </c>
      <c r="F41" s="74">
        <f>G41</f>
        <v>0</v>
      </c>
      <c r="G41" s="74">
        <f>SUM(K41,M41,O41,Q41,S41,U41,W41,Y41,AA41,AC41,AE41,AG41)</f>
        <v>0</v>
      </c>
      <c r="H41" s="74">
        <f t="shared" si="13"/>
        <v>0</v>
      </c>
      <c r="I41" s="74">
        <f t="shared" si="14"/>
        <v>0</v>
      </c>
      <c r="J41" s="67">
        <v>0</v>
      </c>
      <c r="K41" s="67">
        <v>0</v>
      </c>
      <c r="L41" s="67">
        <v>0</v>
      </c>
      <c r="M41" s="67">
        <v>0</v>
      </c>
      <c r="N41" s="67">
        <v>0</v>
      </c>
      <c r="O41" s="67">
        <v>0</v>
      </c>
      <c r="P41" s="67">
        <v>0</v>
      </c>
      <c r="Q41" s="67">
        <v>0</v>
      </c>
      <c r="R41" s="67">
        <v>0</v>
      </c>
      <c r="S41" s="67">
        <v>0</v>
      </c>
      <c r="T41" s="67">
        <v>0</v>
      </c>
      <c r="U41" s="67">
        <v>0</v>
      </c>
      <c r="V41" s="67">
        <v>0</v>
      </c>
      <c r="W41" s="67">
        <v>0</v>
      </c>
      <c r="X41" s="67">
        <v>0</v>
      </c>
      <c r="Y41" s="67">
        <v>0</v>
      </c>
      <c r="Z41" s="67">
        <v>0</v>
      </c>
      <c r="AA41" s="67">
        <v>0</v>
      </c>
      <c r="AB41" s="67">
        <v>0</v>
      </c>
      <c r="AC41" s="67">
        <v>0</v>
      </c>
      <c r="AD41" s="67">
        <v>0</v>
      </c>
      <c r="AE41" s="67">
        <v>0</v>
      </c>
      <c r="AF41" s="67">
        <v>0</v>
      </c>
      <c r="AG41" s="67">
        <v>0</v>
      </c>
      <c r="AH41" s="60"/>
      <c r="AI41" s="23"/>
    </row>
    <row r="42" spans="1:35" s="21" customFormat="1" ht="48" customHeight="1" x14ac:dyDescent="0.25">
      <c r="A42" s="383"/>
      <c r="B42" s="432"/>
      <c r="C42" s="124" t="s">
        <v>21</v>
      </c>
      <c r="D42" s="74">
        <f>SUM(J42,L42,N42,P42,R42,T42,V42,X42,Z42,AB42,AD42,AF42)</f>
        <v>8.3000000000000007</v>
      </c>
      <c r="E42" s="74">
        <f>J42</f>
        <v>0</v>
      </c>
      <c r="F42" s="74">
        <f>G42</f>
        <v>0</v>
      </c>
      <c r="G42" s="74">
        <f>SUM(K42,M42,O42,Q42,S42,U42,W42,Y42,AA42,AC42,AE42,AG42)</f>
        <v>0</v>
      </c>
      <c r="H42" s="74">
        <f t="shared" si="13"/>
        <v>0</v>
      </c>
      <c r="I42" s="74">
        <f t="shared" si="14"/>
        <v>0</v>
      </c>
      <c r="J42" s="67">
        <v>0</v>
      </c>
      <c r="K42" s="67">
        <v>0</v>
      </c>
      <c r="L42" s="67">
        <v>0</v>
      </c>
      <c r="M42" s="67">
        <v>0</v>
      </c>
      <c r="N42" s="67">
        <v>0</v>
      </c>
      <c r="O42" s="67">
        <v>0</v>
      </c>
      <c r="P42" s="67">
        <v>8.3000000000000007</v>
      </c>
      <c r="Q42" s="67">
        <v>0</v>
      </c>
      <c r="R42" s="67">
        <v>0</v>
      </c>
      <c r="S42" s="67">
        <v>0</v>
      </c>
      <c r="T42" s="67">
        <v>0</v>
      </c>
      <c r="U42" s="67">
        <v>0</v>
      </c>
      <c r="V42" s="67">
        <v>0</v>
      </c>
      <c r="W42" s="67">
        <v>0</v>
      </c>
      <c r="X42" s="67">
        <v>0</v>
      </c>
      <c r="Y42" s="67">
        <v>0</v>
      </c>
      <c r="Z42" s="67">
        <v>0</v>
      </c>
      <c r="AA42" s="67">
        <v>0</v>
      </c>
      <c r="AB42" s="67">
        <v>0</v>
      </c>
      <c r="AC42" s="67">
        <v>0</v>
      </c>
      <c r="AD42" s="67">
        <v>0</v>
      </c>
      <c r="AE42" s="67">
        <v>0</v>
      </c>
      <c r="AF42" s="67">
        <v>0</v>
      </c>
      <c r="AG42" s="67">
        <v>0</v>
      </c>
      <c r="AH42" s="60"/>
      <c r="AI42" s="23"/>
    </row>
    <row r="43" spans="1:35" s="22" customFormat="1" ht="45" hidden="1" customHeight="1" x14ac:dyDescent="0.25">
      <c r="A43" s="388"/>
      <c r="B43" s="433"/>
      <c r="C43" s="124" t="s">
        <v>279</v>
      </c>
      <c r="D43" s="74">
        <f>SUM(J43,L43,N43,P43,R43,T43,V43,X43,Z43,AB43,AD43,AF43)</f>
        <v>0</v>
      </c>
      <c r="E43" s="74">
        <f>J43</f>
        <v>0</v>
      </c>
      <c r="F43" s="74">
        <f>G43</f>
        <v>0</v>
      </c>
      <c r="G43" s="74">
        <f>SUM(K43,M43,O43,Q43,S43,U43,W43,Y43,AA43,AC43,AE43,AG43)</f>
        <v>0</v>
      </c>
      <c r="H43" s="74">
        <f t="shared" si="13"/>
        <v>0</v>
      </c>
      <c r="I43" s="74">
        <f t="shared" si="14"/>
        <v>0</v>
      </c>
      <c r="J43" s="67">
        <v>0</v>
      </c>
      <c r="K43" s="67">
        <v>0</v>
      </c>
      <c r="L43" s="67">
        <v>0</v>
      </c>
      <c r="M43" s="67">
        <v>0</v>
      </c>
      <c r="N43" s="67">
        <v>0</v>
      </c>
      <c r="O43" s="67">
        <v>0</v>
      </c>
      <c r="P43" s="67">
        <v>0</v>
      </c>
      <c r="Q43" s="67">
        <v>0</v>
      </c>
      <c r="R43" s="67">
        <v>0</v>
      </c>
      <c r="S43" s="67">
        <v>0</v>
      </c>
      <c r="T43" s="67">
        <v>0</v>
      </c>
      <c r="U43" s="67">
        <v>0</v>
      </c>
      <c r="V43" s="67">
        <v>0</v>
      </c>
      <c r="W43" s="67">
        <v>0</v>
      </c>
      <c r="X43" s="67">
        <v>0</v>
      </c>
      <c r="Y43" s="67">
        <v>0</v>
      </c>
      <c r="Z43" s="67">
        <v>0</v>
      </c>
      <c r="AA43" s="67">
        <v>0</v>
      </c>
      <c r="AB43" s="67">
        <v>0</v>
      </c>
      <c r="AC43" s="67">
        <v>0</v>
      </c>
      <c r="AD43" s="67">
        <v>0</v>
      </c>
      <c r="AE43" s="67">
        <v>0</v>
      </c>
      <c r="AF43" s="67">
        <v>0</v>
      </c>
      <c r="AG43" s="67">
        <v>0</v>
      </c>
      <c r="AH43" s="64"/>
      <c r="AI43" s="20"/>
    </row>
    <row r="44" spans="1:35" s="21" customFormat="1" ht="24.75" customHeight="1" x14ac:dyDescent="0.25">
      <c r="A44" s="387"/>
      <c r="B44" s="431" t="s">
        <v>300</v>
      </c>
      <c r="C44" s="123" t="s">
        <v>20</v>
      </c>
      <c r="D44" s="70">
        <f>D45+D46+D47+D48</f>
        <v>9193.9189999999999</v>
      </c>
      <c r="E44" s="70">
        <f t="shared" ref="E44:G44" si="30">E45+E46+E47+E48</f>
        <v>22.545999999999999</v>
      </c>
      <c r="F44" s="70">
        <f t="shared" si="30"/>
        <v>109.03</v>
      </c>
      <c r="G44" s="70">
        <f t="shared" si="30"/>
        <v>109.03</v>
      </c>
      <c r="H44" s="70">
        <f t="shared" si="13"/>
        <v>1.1858925448440432</v>
      </c>
      <c r="I44" s="70">
        <f t="shared" si="14"/>
        <v>483.5891067151602</v>
      </c>
      <c r="J44" s="70">
        <f t="shared" ref="J44:AF44" si="31">J45+J46+J47+J48</f>
        <v>22.545999999999999</v>
      </c>
      <c r="K44" s="70">
        <f t="shared" si="31"/>
        <v>0</v>
      </c>
      <c r="L44" s="70">
        <f t="shared" si="31"/>
        <v>22.545999999999999</v>
      </c>
      <c r="M44" s="70">
        <f t="shared" si="31"/>
        <v>27.59</v>
      </c>
      <c r="N44" s="70">
        <f t="shared" si="31"/>
        <v>500.93200000000002</v>
      </c>
      <c r="O44" s="70">
        <f t="shared" si="31"/>
        <v>16.739999999999998</v>
      </c>
      <c r="P44" s="70">
        <f t="shared" si="31"/>
        <v>22.545999999999999</v>
      </c>
      <c r="Q44" s="70">
        <f t="shared" si="31"/>
        <v>64.7</v>
      </c>
      <c r="R44" s="70">
        <f t="shared" si="31"/>
        <v>2974.9459999999999</v>
      </c>
      <c r="S44" s="70">
        <f t="shared" si="31"/>
        <v>0</v>
      </c>
      <c r="T44" s="70">
        <f t="shared" si="31"/>
        <v>22.545999999999999</v>
      </c>
      <c r="U44" s="70">
        <f t="shared" si="31"/>
        <v>0</v>
      </c>
      <c r="V44" s="70">
        <f t="shared" si="31"/>
        <v>0</v>
      </c>
      <c r="W44" s="70">
        <f t="shared" si="31"/>
        <v>0</v>
      </c>
      <c r="X44" s="70">
        <f t="shared" si="31"/>
        <v>0</v>
      </c>
      <c r="Y44" s="70">
        <f t="shared" si="31"/>
        <v>0</v>
      </c>
      <c r="Z44" s="70">
        <f t="shared" si="31"/>
        <v>22.545999999999999</v>
      </c>
      <c r="AA44" s="70">
        <f t="shared" si="31"/>
        <v>0</v>
      </c>
      <c r="AB44" s="70">
        <f t="shared" si="31"/>
        <v>22.545999999999999</v>
      </c>
      <c r="AC44" s="70">
        <f t="shared" si="31"/>
        <v>0</v>
      </c>
      <c r="AD44" s="70">
        <f t="shared" si="31"/>
        <v>22.545999999999999</v>
      </c>
      <c r="AE44" s="70">
        <f t="shared" si="31"/>
        <v>0</v>
      </c>
      <c r="AF44" s="70">
        <f t="shared" si="31"/>
        <v>5560.2190000000001</v>
      </c>
      <c r="AG44" s="70">
        <f>AG45+AG46+AG47+AG48</f>
        <v>0</v>
      </c>
      <c r="AH44" s="48"/>
      <c r="AI44" s="23"/>
    </row>
    <row r="45" spans="1:35" s="21" customFormat="1" ht="42.75" hidden="1" customHeight="1" x14ac:dyDescent="0.25">
      <c r="A45" s="383"/>
      <c r="B45" s="432"/>
      <c r="C45" s="124" t="s">
        <v>52</v>
      </c>
      <c r="D45" s="74">
        <f>SUM(J45,L45,N45,P45,R45,T45,V45,X45,Z45,AB45,AD45,AF45)</f>
        <v>0</v>
      </c>
      <c r="E45" s="74">
        <f>J45</f>
        <v>0</v>
      </c>
      <c r="F45" s="74">
        <f>G45</f>
        <v>0</v>
      </c>
      <c r="G45" s="74">
        <f>SUM(K45,M45,O45,Q45,S45,U45,W45,Y45,AA45,AC45,AE45,AG45)</f>
        <v>0</v>
      </c>
      <c r="H45" s="74">
        <f t="shared" si="13"/>
        <v>0</v>
      </c>
      <c r="I45" s="74">
        <f t="shared" si="14"/>
        <v>0</v>
      </c>
      <c r="J45" s="74">
        <v>0</v>
      </c>
      <c r="K45" s="74">
        <v>0</v>
      </c>
      <c r="L45" s="74">
        <v>0</v>
      </c>
      <c r="M45" s="74">
        <v>0</v>
      </c>
      <c r="N45" s="74">
        <v>0</v>
      </c>
      <c r="O45" s="74">
        <v>0</v>
      </c>
      <c r="P45" s="74">
        <v>0</v>
      </c>
      <c r="Q45" s="74">
        <v>0</v>
      </c>
      <c r="R45" s="74">
        <v>0</v>
      </c>
      <c r="S45" s="74">
        <v>0</v>
      </c>
      <c r="T45" s="74">
        <v>0</v>
      </c>
      <c r="U45" s="74">
        <v>0</v>
      </c>
      <c r="V45" s="74">
        <v>0</v>
      </c>
      <c r="W45" s="74">
        <v>0</v>
      </c>
      <c r="X45" s="74">
        <v>0</v>
      </c>
      <c r="Y45" s="74">
        <v>0</v>
      </c>
      <c r="Z45" s="74">
        <v>0</v>
      </c>
      <c r="AA45" s="74">
        <v>0</v>
      </c>
      <c r="AB45" s="74">
        <v>0</v>
      </c>
      <c r="AC45" s="74">
        <v>0</v>
      </c>
      <c r="AD45" s="74">
        <v>0</v>
      </c>
      <c r="AE45" s="74">
        <v>0</v>
      </c>
      <c r="AF45" s="74">
        <v>0</v>
      </c>
      <c r="AG45" s="74">
        <v>0</v>
      </c>
      <c r="AH45" s="60"/>
      <c r="AI45" s="23"/>
    </row>
    <row r="46" spans="1:35" s="21" customFormat="1" ht="48" customHeight="1" x14ac:dyDescent="0.25">
      <c r="A46" s="383"/>
      <c r="B46" s="432"/>
      <c r="C46" s="124" t="s">
        <v>22</v>
      </c>
      <c r="D46" s="74">
        <f>SUM(J46,L46,N46,P46,R46,T46,V46,X46,Z46,AB46,AD46,AF46)</f>
        <v>2804.7</v>
      </c>
      <c r="E46" s="74">
        <f>J46</f>
        <v>0</v>
      </c>
      <c r="F46" s="74">
        <f>G46</f>
        <v>0</v>
      </c>
      <c r="G46" s="74">
        <f>SUM(K46,M46,O46,Q46,S46,U46,W46,Y46,AA46,AC46,AE46,AG46)</f>
        <v>0</v>
      </c>
      <c r="H46" s="74">
        <f t="shared" si="13"/>
        <v>0</v>
      </c>
      <c r="I46" s="74">
        <f t="shared" si="14"/>
        <v>0</v>
      </c>
      <c r="J46" s="67">
        <v>0</v>
      </c>
      <c r="K46" s="67">
        <v>0</v>
      </c>
      <c r="L46" s="67">
        <v>0</v>
      </c>
      <c r="M46" s="67">
        <v>0</v>
      </c>
      <c r="N46" s="67">
        <v>0</v>
      </c>
      <c r="O46" s="67">
        <v>0</v>
      </c>
      <c r="P46" s="67">
        <v>0</v>
      </c>
      <c r="Q46" s="67">
        <v>0</v>
      </c>
      <c r="R46" s="67">
        <v>2804.7</v>
      </c>
      <c r="S46" s="67">
        <v>0</v>
      </c>
      <c r="T46" s="67">
        <v>0</v>
      </c>
      <c r="U46" s="67">
        <v>0</v>
      </c>
      <c r="V46" s="67">
        <v>0</v>
      </c>
      <c r="W46" s="67">
        <v>0</v>
      </c>
      <c r="X46" s="67">
        <v>0</v>
      </c>
      <c r="Y46" s="67">
        <v>0</v>
      </c>
      <c r="Z46" s="67">
        <v>0</v>
      </c>
      <c r="AA46" s="67">
        <v>0</v>
      </c>
      <c r="AB46" s="67">
        <v>0</v>
      </c>
      <c r="AC46" s="67">
        <v>0</v>
      </c>
      <c r="AD46" s="67">
        <v>0</v>
      </c>
      <c r="AE46" s="67">
        <v>0</v>
      </c>
      <c r="AF46" s="67">
        <v>0</v>
      </c>
      <c r="AG46" s="67">
        <v>0</v>
      </c>
      <c r="AH46" s="60"/>
      <c r="AI46" s="23"/>
    </row>
    <row r="47" spans="1:35" s="21" customFormat="1" ht="48" customHeight="1" x14ac:dyDescent="0.25">
      <c r="A47" s="383"/>
      <c r="B47" s="432"/>
      <c r="C47" s="124" t="s">
        <v>21</v>
      </c>
      <c r="D47" s="74">
        <f>SUM(J47,L47,N47,P47,R47,T47,V47,X47,Z47,AB47,AD47,AF47)</f>
        <v>6389.2190000000001</v>
      </c>
      <c r="E47" s="74">
        <f>J47</f>
        <v>22.545999999999999</v>
      </c>
      <c r="F47" s="74">
        <f>G47</f>
        <v>109.03</v>
      </c>
      <c r="G47" s="74">
        <f>SUM(K47,M47,O47,Q47,S47,U47,W47,Y47,AA47,AC47,AE47,AG47)</f>
        <v>109.03</v>
      </c>
      <c r="H47" s="74">
        <f t="shared" si="13"/>
        <v>1.706468349261467</v>
      </c>
      <c r="I47" s="74">
        <f t="shared" si="14"/>
        <v>483.5891067151602</v>
      </c>
      <c r="J47" s="67">
        <v>22.545999999999999</v>
      </c>
      <c r="K47" s="67">
        <v>0</v>
      </c>
      <c r="L47" s="67">
        <v>22.545999999999999</v>
      </c>
      <c r="M47" s="275">
        <v>27.59</v>
      </c>
      <c r="N47" s="67">
        <v>500.93200000000002</v>
      </c>
      <c r="O47" s="67">
        <v>16.739999999999998</v>
      </c>
      <c r="P47" s="67">
        <v>22.545999999999999</v>
      </c>
      <c r="Q47" s="67">
        <v>64.7</v>
      </c>
      <c r="R47" s="67">
        <v>170.24600000000001</v>
      </c>
      <c r="S47" s="67">
        <v>0</v>
      </c>
      <c r="T47" s="67">
        <v>22.545999999999999</v>
      </c>
      <c r="U47" s="67">
        <v>0</v>
      </c>
      <c r="V47" s="67">
        <v>0</v>
      </c>
      <c r="W47" s="67">
        <v>0</v>
      </c>
      <c r="X47" s="67">
        <v>0</v>
      </c>
      <c r="Y47" s="67">
        <v>0</v>
      </c>
      <c r="Z47" s="67">
        <v>22.545999999999999</v>
      </c>
      <c r="AA47" s="67">
        <v>0</v>
      </c>
      <c r="AB47" s="67">
        <v>22.545999999999999</v>
      </c>
      <c r="AC47" s="67">
        <v>0</v>
      </c>
      <c r="AD47" s="67">
        <v>22.545999999999999</v>
      </c>
      <c r="AE47" s="67">
        <v>0</v>
      </c>
      <c r="AF47" s="67">
        <v>5560.2190000000001</v>
      </c>
      <c r="AG47" s="67">
        <v>0</v>
      </c>
      <c r="AH47" s="60"/>
      <c r="AI47" s="23"/>
    </row>
    <row r="48" spans="1:35" s="22" customFormat="1" ht="51.75" hidden="1" customHeight="1" x14ac:dyDescent="0.25">
      <c r="A48" s="388"/>
      <c r="B48" s="433"/>
      <c r="C48" s="124" t="s">
        <v>279</v>
      </c>
      <c r="D48" s="74">
        <f>SUM(J48,L48,N48,P48,R48,T48,V48,X48,Z48,AB48,AD48,AF48)</f>
        <v>0</v>
      </c>
      <c r="E48" s="74">
        <f>J48</f>
        <v>0</v>
      </c>
      <c r="F48" s="74">
        <f>G48</f>
        <v>0</v>
      </c>
      <c r="G48" s="74">
        <f>SUM(K48,M48,O48,Q48,S48,U48,W48,Y48,AA48,AC48,AE48,AG48)</f>
        <v>0</v>
      </c>
      <c r="H48" s="74">
        <f t="shared" si="13"/>
        <v>0</v>
      </c>
      <c r="I48" s="74">
        <f t="shared" si="14"/>
        <v>0</v>
      </c>
      <c r="J48" s="67">
        <v>0</v>
      </c>
      <c r="K48" s="67">
        <v>0</v>
      </c>
      <c r="L48" s="67">
        <v>0</v>
      </c>
      <c r="M48" s="67">
        <v>0</v>
      </c>
      <c r="N48" s="67">
        <v>0</v>
      </c>
      <c r="O48" s="67">
        <v>0</v>
      </c>
      <c r="P48" s="67">
        <v>0</v>
      </c>
      <c r="Q48" s="67">
        <v>0</v>
      </c>
      <c r="R48" s="67">
        <v>0</v>
      </c>
      <c r="S48" s="67">
        <v>0</v>
      </c>
      <c r="T48" s="67">
        <v>0</v>
      </c>
      <c r="U48" s="67">
        <v>0</v>
      </c>
      <c r="V48" s="67">
        <v>0</v>
      </c>
      <c r="W48" s="67">
        <v>0</v>
      </c>
      <c r="X48" s="67">
        <v>0</v>
      </c>
      <c r="Y48" s="67">
        <v>0</v>
      </c>
      <c r="Z48" s="67">
        <v>0</v>
      </c>
      <c r="AA48" s="67">
        <v>0</v>
      </c>
      <c r="AB48" s="67">
        <v>0</v>
      </c>
      <c r="AC48" s="67">
        <v>0</v>
      </c>
      <c r="AD48" s="67">
        <v>0</v>
      </c>
      <c r="AE48" s="67">
        <v>0</v>
      </c>
      <c r="AF48" s="67">
        <v>0</v>
      </c>
      <c r="AG48" s="67">
        <v>0</v>
      </c>
      <c r="AH48" s="64"/>
      <c r="AI48" s="20"/>
    </row>
    <row r="49" spans="1:35" s="21" customFormat="1" ht="52.5" customHeight="1" x14ac:dyDescent="0.25">
      <c r="A49" s="387"/>
      <c r="B49" s="431" t="s">
        <v>301</v>
      </c>
      <c r="C49" s="123" t="s">
        <v>20</v>
      </c>
      <c r="D49" s="70">
        <f>D50+D51+D52+D53</f>
        <v>1798.1</v>
      </c>
      <c r="E49" s="70">
        <f t="shared" ref="E49:G49" si="32">E50+E51+E52+E53</f>
        <v>0</v>
      </c>
      <c r="F49" s="70">
        <f t="shared" si="32"/>
        <v>0</v>
      </c>
      <c r="G49" s="70">
        <f t="shared" si="32"/>
        <v>0</v>
      </c>
      <c r="H49" s="70">
        <f t="shared" si="13"/>
        <v>0</v>
      </c>
      <c r="I49" s="70">
        <f t="shared" si="14"/>
        <v>0</v>
      </c>
      <c r="J49" s="70">
        <f t="shared" ref="J49:AF49" si="33">J50+J51+J52+J53</f>
        <v>0</v>
      </c>
      <c r="K49" s="70">
        <f t="shared" si="33"/>
        <v>0</v>
      </c>
      <c r="L49" s="70">
        <f t="shared" si="33"/>
        <v>0</v>
      </c>
      <c r="M49" s="70">
        <f t="shared" si="33"/>
        <v>0</v>
      </c>
      <c r="N49" s="70">
        <f t="shared" si="33"/>
        <v>0</v>
      </c>
      <c r="O49" s="70">
        <f t="shared" si="33"/>
        <v>0</v>
      </c>
      <c r="P49" s="70">
        <f t="shared" si="33"/>
        <v>0</v>
      </c>
      <c r="Q49" s="70">
        <f t="shared" si="33"/>
        <v>0</v>
      </c>
      <c r="R49" s="70">
        <f t="shared" si="33"/>
        <v>343.12700000000001</v>
      </c>
      <c r="S49" s="70">
        <f t="shared" si="33"/>
        <v>0</v>
      </c>
      <c r="T49" s="70">
        <f t="shared" si="33"/>
        <v>484.99099999999999</v>
      </c>
      <c r="U49" s="70">
        <f t="shared" si="33"/>
        <v>0</v>
      </c>
      <c r="V49" s="70">
        <f t="shared" si="33"/>
        <v>484.99099999999999</v>
      </c>
      <c r="W49" s="70">
        <f t="shared" si="33"/>
        <v>0</v>
      </c>
      <c r="X49" s="70">
        <f t="shared" si="33"/>
        <v>484.99099999999999</v>
      </c>
      <c r="Y49" s="70">
        <f t="shared" si="33"/>
        <v>0</v>
      </c>
      <c r="Z49" s="70">
        <f t="shared" si="33"/>
        <v>0</v>
      </c>
      <c r="AA49" s="70">
        <f t="shared" si="33"/>
        <v>0</v>
      </c>
      <c r="AB49" s="70">
        <f t="shared" si="33"/>
        <v>0</v>
      </c>
      <c r="AC49" s="70">
        <f t="shared" si="33"/>
        <v>0</v>
      </c>
      <c r="AD49" s="70">
        <f t="shared" si="33"/>
        <v>0</v>
      </c>
      <c r="AE49" s="70">
        <f t="shared" si="33"/>
        <v>0</v>
      </c>
      <c r="AF49" s="70">
        <f t="shared" si="33"/>
        <v>0</v>
      </c>
      <c r="AG49" s="70">
        <f>AG50+AG51+AG52+AG53</f>
        <v>0</v>
      </c>
      <c r="AH49" s="60"/>
      <c r="AI49" s="23"/>
    </row>
    <row r="50" spans="1:35" s="21" customFormat="1" ht="42.75" hidden="1" customHeight="1" x14ac:dyDescent="0.25">
      <c r="A50" s="383"/>
      <c r="B50" s="432"/>
      <c r="C50" s="124" t="s">
        <v>52</v>
      </c>
      <c r="D50" s="74">
        <f>SUM(J50,L50,N50,P50,R50,T50,V50,X50,Z50,AB50,AD50,AF50)</f>
        <v>0</v>
      </c>
      <c r="E50" s="74">
        <f>J50</f>
        <v>0</v>
      </c>
      <c r="F50" s="74">
        <f>G50</f>
        <v>0</v>
      </c>
      <c r="G50" s="74">
        <f>SUM(K50,M50,O50,Q50,S50,U50,W50,Y50,AA50,AC50,AE50,AG50)</f>
        <v>0</v>
      </c>
      <c r="H50" s="74">
        <f t="shared" si="13"/>
        <v>0</v>
      </c>
      <c r="I50" s="74">
        <f t="shared" si="14"/>
        <v>0</v>
      </c>
      <c r="J50" s="74">
        <v>0</v>
      </c>
      <c r="K50" s="74">
        <v>0</v>
      </c>
      <c r="L50" s="74">
        <v>0</v>
      </c>
      <c r="M50" s="74">
        <v>0</v>
      </c>
      <c r="N50" s="74">
        <v>0</v>
      </c>
      <c r="O50" s="74">
        <v>0</v>
      </c>
      <c r="P50" s="74">
        <v>0</v>
      </c>
      <c r="Q50" s="74">
        <v>0</v>
      </c>
      <c r="R50" s="74">
        <v>0</v>
      </c>
      <c r="S50" s="74">
        <v>0</v>
      </c>
      <c r="T50" s="74">
        <v>0</v>
      </c>
      <c r="U50" s="74">
        <v>0</v>
      </c>
      <c r="V50" s="74">
        <v>0</v>
      </c>
      <c r="W50" s="74">
        <v>0</v>
      </c>
      <c r="X50" s="74">
        <v>0</v>
      </c>
      <c r="Y50" s="74">
        <v>0</v>
      </c>
      <c r="Z50" s="74">
        <v>0</v>
      </c>
      <c r="AA50" s="74">
        <v>0</v>
      </c>
      <c r="AB50" s="74">
        <v>0</v>
      </c>
      <c r="AC50" s="74">
        <v>0</v>
      </c>
      <c r="AD50" s="74">
        <v>0</v>
      </c>
      <c r="AE50" s="74">
        <v>0</v>
      </c>
      <c r="AF50" s="74">
        <v>0</v>
      </c>
      <c r="AG50" s="74">
        <v>0</v>
      </c>
      <c r="AH50" s="60"/>
      <c r="AI50" s="23"/>
    </row>
    <row r="51" spans="1:35" s="21" customFormat="1" ht="54" hidden="1" customHeight="1" x14ac:dyDescent="0.25">
      <c r="A51" s="383"/>
      <c r="B51" s="432"/>
      <c r="C51" s="124" t="s">
        <v>22</v>
      </c>
      <c r="D51" s="74">
        <f>SUM(J51,L51,N51,P51,R51,T51,V51,X51,Z51,AB51,AD51,AF51)</f>
        <v>0</v>
      </c>
      <c r="E51" s="74">
        <f>J51</f>
        <v>0</v>
      </c>
      <c r="F51" s="74">
        <f>G51</f>
        <v>0</v>
      </c>
      <c r="G51" s="74">
        <f>SUM(K51,M51,O51,Q51,S51,U51,W51,Y51,AA51,AC51,AE51,AG51)</f>
        <v>0</v>
      </c>
      <c r="H51" s="74">
        <f t="shared" si="13"/>
        <v>0</v>
      </c>
      <c r="I51" s="74">
        <f t="shared" si="14"/>
        <v>0</v>
      </c>
      <c r="J51" s="67">
        <v>0</v>
      </c>
      <c r="K51" s="67">
        <v>0</v>
      </c>
      <c r="L51" s="67">
        <v>0</v>
      </c>
      <c r="M51" s="67">
        <v>0</v>
      </c>
      <c r="N51" s="67">
        <v>0</v>
      </c>
      <c r="O51" s="67">
        <v>0</v>
      </c>
      <c r="P51" s="67">
        <v>0</v>
      </c>
      <c r="Q51" s="67">
        <v>0</v>
      </c>
      <c r="R51" s="67">
        <v>0</v>
      </c>
      <c r="S51" s="67">
        <v>0</v>
      </c>
      <c r="T51" s="67">
        <v>0</v>
      </c>
      <c r="U51" s="67">
        <v>0</v>
      </c>
      <c r="V51" s="67">
        <v>0</v>
      </c>
      <c r="W51" s="67">
        <v>0</v>
      </c>
      <c r="X51" s="67">
        <v>0</v>
      </c>
      <c r="Y51" s="67">
        <v>0</v>
      </c>
      <c r="Z51" s="67">
        <v>0</v>
      </c>
      <c r="AA51" s="67">
        <v>0</v>
      </c>
      <c r="AB51" s="67">
        <v>0</v>
      </c>
      <c r="AC51" s="67">
        <v>0</v>
      </c>
      <c r="AD51" s="67">
        <v>0</v>
      </c>
      <c r="AE51" s="67">
        <v>0</v>
      </c>
      <c r="AF51" s="67">
        <v>0</v>
      </c>
      <c r="AG51" s="67">
        <v>0</v>
      </c>
      <c r="AH51" s="60"/>
      <c r="AI51" s="23"/>
    </row>
    <row r="52" spans="1:35" s="21" customFormat="1" ht="119.25" customHeight="1" x14ac:dyDescent="0.25">
      <c r="A52" s="383"/>
      <c r="B52" s="432"/>
      <c r="C52" s="124" t="s">
        <v>21</v>
      </c>
      <c r="D52" s="74">
        <f>SUM(J52,L52,N52,P52,R52,T52,V52,X52,Z52,AB52,AD52,AF52)</f>
        <v>1798.1</v>
      </c>
      <c r="E52" s="74">
        <f>J52</f>
        <v>0</v>
      </c>
      <c r="F52" s="74">
        <f>G52</f>
        <v>0</v>
      </c>
      <c r="G52" s="74">
        <f>SUM(K52,M52,O52,Q52,S52,U52,W52,Y52,AA52,AC52,AE52,AG52)</f>
        <v>0</v>
      </c>
      <c r="H52" s="74">
        <f t="shared" si="13"/>
        <v>0</v>
      </c>
      <c r="I52" s="74">
        <f t="shared" si="14"/>
        <v>0</v>
      </c>
      <c r="J52" s="67">
        <v>0</v>
      </c>
      <c r="K52" s="67">
        <v>0</v>
      </c>
      <c r="L52" s="67">
        <v>0</v>
      </c>
      <c r="M52" s="67">
        <v>0</v>
      </c>
      <c r="N52" s="67">
        <v>0</v>
      </c>
      <c r="O52" s="67">
        <v>0</v>
      </c>
      <c r="P52" s="67">
        <v>0</v>
      </c>
      <c r="Q52" s="67">
        <v>0</v>
      </c>
      <c r="R52" s="67">
        <v>343.12700000000001</v>
      </c>
      <c r="S52" s="67">
        <v>0</v>
      </c>
      <c r="T52" s="67">
        <v>484.99099999999999</v>
      </c>
      <c r="U52" s="67">
        <v>0</v>
      </c>
      <c r="V52" s="67">
        <v>484.99099999999999</v>
      </c>
      <c r="W52" s="67">
        <v>0</v>
      </c>
      <c r="X52" s="67">
        <v>484.99099999999999</v>
      </c>
      <c r="Y52" s="67">
        <v>0</v>
      </c>
      <c r="Z52" s="67">
        <v>0</v>
      </c>
      <c r="AA52" s="67">
        <v>0</v>
      </c>
      <c r="AB52" s="67">
        <v>0</v>
      </c>
      <c r="AC52" s="67">
        <v>0</v>
      </c>
      <c r="AD52" s="67">
        <v>0</v>
      </c>
      <c r="AE52" s="67">
        <v>0</v>
      </c>
      <c r="AF52" s="67">
        <v>0</v>
      </c>
      <c r="AG52" s="67">
        <v>0</v>
      </c>
      <c r="AH52" s="60"/>
      <c r="AI52" s="23"/>
    </row>
    <row r="53" spans="1:35" s="22" customFormat="1" ht="51" hidden="1" customHeight="1" x14ac:dyDescent="0.25">
      <c r="A53" s="388"/>
      <c r="B53" s="433"/>
      <c r="C53" s="124" t="s">
        <v>279</v>
      </c>
      <c r="D53" s="74">
        <f>SUM(J53,L53,N53,P53,R53,T53,V53,X53,Z53,AB53,AD53,AF53)</f>
        <v>0</v>
      </c>
      <c r="E53" s="74">
        <f>J53</f>
        <v>0</v>
      </c>
      <c r="F53" s="74">
        <f>G53</f>
        <v>0</v>
      </c>
      <c r="G53" s="74">
        <f>SUM(K53,M53,O53,Q53,S53,U53,W53,Y53,AA53,AC53,AE53,AG53)</f>
        <v>0</v>
      </c>
      <c r="H53" s="74">
        <f t="shared" si="13"/>
        <v>0</v>
      </c>
      <c r="I53" s="74">
        <f t="shared" si="14"/>
        <v>0</v>
      </c>
      <c r="J53" s="67">
        <v>0</v>
      </c>
      <c r="K53" s="67">
        <v>0</v>
      </c>
      <c r="L53" s="67">
        <v>0</v>
      </c>
      <c r="M53" s="67">
        <v>0</v>
      </c>
      <c r="N53" s="67">
        <v>0</v>
      </c>
      <c r="O53" s="67">
        <v>0</v>
      </c>
      <c r="P53" s="67">
        <v>0</v>
      </c>
      <c r="Q53" s="67">
        <v>0</v>
      </c>
      <c r="R53" s="67">
        <v>0</v>
      </c>
      <c r="S53" s="67">
        <v>0</v>
      </c>
      <c r="T53" s="67">
        <v>0</v>
      </c>
      <c r="U53" s="67">
        <v>0</v>
      </c>
      <c r="V53" s="67">
        <v>0</v>
      </c>
      <c r="W53" s="67">
        <v>0</v>
      </c>
      <c r="X53" s="67">
        <v>0</v>
      </c>
      <c r="Y53" s="67">
        <v>0</v>
      </c>
      <c r="Z53" s="67">
        <v>0</v>
      </c>
      <c r="AA53" s="67">
        <v>0</v>
      </c>
      <c r="AB53" s="67">
        <v>0</v>
      </c>
      <c r="AC53" s="67">
        <v>0</v>
      </c>
      <c r="AD53" s="67">
        <v>0</v>
      </c>
      <c r="AE53" s="67">
        <v>0</v>
      </c>
      <c r="AF53" s="67">
        <v>0</v>
      </c>
      <c r="AG53" s="67">
        <v>0</v>
      </c>
      <c r="AH53" s="64"/>
      <c r="AI53" s="20"/>
    </row>
    <row r="54" spans="1:35" s="21" customFormat="1" ht="40.5" customHeight="1" x14ac:dyDescent="0.25">
      <c r="A54" s="434" t="s">
        <v>282</v>
      </c>
      <c r="B54" s="411" t="s">
        <v>283</v>
      </c>
      <c r="C54" s="123" t="s">
        <v>20</v>
      </c>
      <c r="D54" s="70">
        <f>D56+D57+D55+D58</f>
        <v>3491.4</v>
      </c>
      <c r="E54" s="70">
        <f t="shared" ref="E54:G54" si="34">E56+E57+E55+E58</f>
        <v>3491.4</v>
      </c>
      <c r="F54" s="70">
        <f t="shared" si="34"/>
        <v>0</v>
      </c>
      <c r="G54" s="70">
        <f t="shared" si="34"/>
        <v>0</v>
      </c>
      <c r="H54" s="70">
        <f t="shared" si="13"/>
        <v>0</v>
      </c>
      <c r="I54" s="70">
        <f t="shared" si="14"/>
        <v>0</v>
      </c>
      <c r="J54" s="70">
        <f t="shared" ref="J54:AF54" si="35">J55+J56+J57+J58</f>
        <v>3491.4</v>
      </c>
      <c r="K54" s="70">
        <f t="shared" si="35"/>
        <v>0</v>
      </c>
      <c r="L54" s="70">
        <f t="shared" si="35"/>
        <v>0</v>
      </c>
      <c r="M54" s="70">
        <f t="shared" si="35"/>
        <v>0</v>
      </c>
      <c r="N54" s="70">
        <f t="shared" si="35"/>
        <v>0</v>
      </c>
      <c r="O54" s="70">
        <f t="shared" si="35"/>
        <v>0</v>
      </c>
      <c r="P54" s="70">
        <f t="shared" si="35"/>
        <v>0</v>
      </c>
      <c r="Q54" s="70">
        <f t="shared" si="35"/>
        <v>0</v>
      </c>
      <c r="R54" s="70">
        <f t="shared" si="35"/>
        <v>0</v>
      </c>
      <c r="S54" s="70">
        <f t="shared" si="35"/>
        <v>0</v>
      </c>
      <c r="T54" s="70">
        <f t="shared" si="35"/>
        <v>0</v>
      </c>
      <c r="U54" s="70">
        <f t="shared" si="35"/>
        <v>0</v>
      </c>
      <c r="V54" s="70">
        <f t="shared" si="35"/>
        <v>0</v>
      </c>
      <c r="W54" s="70">
        <f t="shared" si="35"/>
        <v>0</v>
      </c>
      <c r="X54" s="70">
        <f t="shared" si="35"/>
        <v>0</v>
      </c>
      <c r="Y54" s="70">
        <f t="shared" si="35"/>
        <v>0</v>
      </c>
      <c r="Z54" s="70">
        <f t="shared" si="35"/>
        <v>0</v>
      </c>
      <c r="AA54" s="70">
        <f t="shared" si="35"/>
        <v>0</v>
      </c>
      <c r="AB54" s="70">
        <f t="shared" si="35"/>
        <v>0</v>
      </c>
      <c r="AC54" s="70">
        <f t="shared" si="35"/>
        <v>0</v>
      </c>
      <c r="AD54" s="70">
        <f t="shared" si="35"/>
        <v>0</v>
      </c>
      <c r="AE54" s="70">
        <f t="shared" si="35"/>
        <v>0</v>
      </c>
      <c r="AF54" s="70">
        <f t="shared" si="35"/>
        <v>0</v>
      </c>
      <c r="AG54" s="70">
        <f>AG55+AG56+AG57+AG58</f>
        <v>0</v>
      </c>
      <c r="AH54" s="60"/>
      <c r="AI54" s="23"/>
    </row>
    <row r="55" spans="1:35" s="21" customFormat="1" ht="42.75" hidden="1" customHeight="1" x14ac:dyDescent="0.25">
      <c r="A55" s="374"/>
      <c r="B55" s="412"/>
      <c r="C55" s="124" t="s">
        <v>52</v>
      </c>
      <c r="D55" s="74">
        <f>SUM(J55,L55,N55,P55,R55,T55,V55,X55,Z55,AB55,AD55,AF55)</f>
        <v>0</v>
      </c>
      <c r="E55" s="74">
        <f>J55</f>
        <v>0</v>
      </c>
      <c r="F55" s="74">
        <f>G55</f>
        <v>0</v>
      </c>
      <c r="G55" s="74">
        <f>SUM(K55,M55,O55,Q55,S55,U55,W55,Y55,AA55,AC55,AE55,AG55)</f>
        <v>0</v>
      </c>
      <c r="H55" s="74">
        <f t="shared" si="13"/>
        <v>0</v>
      </c>
      <c r="I55" s="74">
        <f t="shared" si="14"/>
        <v>0</v>
      </c>
      <c r="J55" s="74">
        <v>0</v>
      </c>
      <c r="K55" s="74">
        <v>0</v>
      </c>
      <c r="L55" s="74">
        <v>0</v>
      </c>
      <c r="M55" s="74">
        <v>0</v>
      </c>
      <c r="N55" s="74">
        <v>0</v>
      </c>
      <c r="O55" s="74">
        <v>0</v>
      </c>
      <c r="P55" s="74">
        <v>0</v>
      </c>
      <c r="Q55" s="74">
        <v>0</v>
      </c>
      <c r="R55" s="74">
        <v>0</v>
      </c>
      <c r="S55" s="74">
        <v>0</v>
      </c>
      <c r="T55" s="74">
        <v>0</v>
      </c>
      <c r="U55" s="74">
        <v>0</v>
      </c>
      <c r="V55" s="74">
        <v>0</v>
      </c>
      <c r="W55" s="74">
        <v>0</v>
      </c>
      <c r="X55" s="74">
        <v>0</v>
      </c>
      <c r="Y55" s="74">
        <v>0</v>
      </c>
      <c r="Z55" s="74">
        <v>0</v>
      </c>
      <c r="AA55" s="74">
        <v>0</v>
      </c>
      <c r="AB55" s="74">
        <v>0</v>
      </c>
      <c r="AC55" s="74">
        <v>0</v>
      </c>
      <c r="AD55" s="74">
        <v>0</v>
      </c>
      <c r="AE55" s="74">
        <v>0</v>
      </c>
      <c r="AF55" s="74">
        <v>0</v>
      </c>
      <c r="AG55" s="74">
        <v>0</v>
      </c>
      <c r="AH55" s="60"/>
      <c r="AI55" s="23"/>
    </row>
    <row r="56" spans="1:35" s="21" customFormat="1" ht="48.75" hidden="1" customHeight="1" x14ac:dyDescent="0.25">
      <c r="A56" s="374"/>
      <c r="B56" s="412"/>
      <c r="C56" s="124" t="s">
        <v>22</v>
      </c>
      <c r="D56" s="74">
        <f>SUM(J56,L56,N56,P56,R56,T56,V56,X56,Z56,AB56,AD56,AF56)</f>
        <v>0</v>
      </c>
      <c r="E56" s="74">
        <f>J56</f>
        <v>0</v>
      </c>
      <c r="F56" s="74">
        <f>G56</f>
        <v>0</v>
      </c>
      <c r="G56" s="74">
        <f>SUM(K56,M56,O56,Q56,S56,U56,W56,Y56,AA56,AC56,AE56,AG56)</f>
        <v>0</v>
      </c>
      <c r="H56" s="74">
        <f t="shared" si="13"/>
        <v>0</v>
      </c>
      <c r="I56" s="74">
        <f t="shared" si="14"/>
        <v>0</v>
      </c>
      <c r="J56" s="67">
        <v>0</v>
      </c>
      <c r="K56" s="67">
        <v>0</v>
      </c>
      <c r="L56" s="67">
        <v>0</v>
      </c>
      <c r="M56" s="67">
        <v>0</v>
      </c>
      <c r="N56" s="67">
        <v>0</v>
      </c>
      <c r="O56" s="67">
        <v>0</v>
      </c>
      <c r="P56" s="67">
        <v>0</v>
      </c>
      <c r="Q56" s="67">
        <v>0</v>
      </c>
      <c r="R56" s="67">
        <v>0</v>
      </c>
      <c r="S56" s="67">
        <v>0</v>
      </c>
      <c r="T56" s="67">
        <v>0</v>
      </c>
      <c r="U56" s="67">
        <v>0</v>
      </c>
      <c r="V56" s="67">
        <v>0</v>
      </c>
      <c r="W56" s="67">
        <v>0</v>
      </c>
      <c r="X56" s="67">
        <v>0</v>
      </c>
      <c r="Y56" s="67">
        <v>0</v>
      </c>
      <c r="Z56" s="67">
        <v>0</v>
      </c>
      <c r="AA56" s="67">
        <v>0</v>
      </c>
      <c r="AB56" s="67">
        <v>0</v>
      </c>
      <c r="AC56" s="67">
        <v>0</v>
      </c>
      <c r="AD56" s="67">
        <v>0</v>
      </c>
      <c r="AE56" s="67">
        <v>0</v>
      </c>
      <c r="AF56" s="67">
        <v>0</v>
      </c>
      <c r="AG56" s="67">
        <v>0</v>
      </c>
      <c r="AH56" s="60"/>
      <c r="AI56" s="23"/>
    </row>
    <row r="57" spans="1:35" s="22" customFormat="1" ht="78.75" customHeight="1" x14ac:dyDescent="0.25">
      <c r="A57" s="374"/>
      <c r="B57" s="412"/>
      <c r="C57" s="124" t="s">
        <v>21</v>
      </c>
      <c r="D57" s="74">
        <f>SUM(J57,L57,N57,P57,R57,T57,V57,X57,Z57,AB57,AD57,AF57)</f>
        <v>3491.4</v>
      </c>
      <c r="E57" s="74">
        <f>J57</f>
        <v>3491.4</v>
      </c>
      <c r="F57" s="74">
        <f>G57</f>
        <v>0</v>
      </c>
      <c r="G57" s="74">
        <f>SUM(K57,M57,O57,Q57,S57,U57,W57,Y57,AA57,AC57,AE57,AG57)</f>
        <v>0</v>
      </c>
      <c r="H57" s="74">
        <f t="shared" si="13"/>
        <v>0</v>
      </c>
      <c r="I57" s="74">
        <f t="shared" si="14"/>
        <v>0</v>
      </c>
      <c r="J57" s="67">
        <v>3491.4</v>
      </c>
      <c r="K57" s="67">
        <v>0</v>
      </c>
      <c r="L57" s="67">
        <v>0</v>
      </c>
      <c r="M57" s="67">
        <v>0</v>
      </c>
      <c r="N57" s="67">
        <v>0</v>
      </c>
      <c r="O57" s="67">
        <v>0</v>
      </c>
      <c r="P57" s="67">
        <v>0</v>
      </c>
      <c r="Q57" s="67">
        <v>0</v>
      </c>
      <c r="R57" s="67">
        <v>0</v>
      </c>
      <c r="S57" s="67">
        <v>0</v>
      </c>
      <c r="T57" s="67">
        <v>0</v>
      </c>
      <c r="U57" s="67">
        <v>0</v>
      </c>
      <c r="V57" s="67">
        <v>0</v>
      </c>
      <c r="W57" s="67">
        <v>0</v>
      </c>
      <c r="X57" s="67">
        <v>0</v>
      </c>
      <c r="Y57" s="67">
        <v>0</v>
      </c>
      <c r="Z57" s="67">
        <v>0</v>
      </c>
      <c r="AA57" s="67">
        <v>0</v>
      </c>
      <c r="AB57" s="67">
        <v>0</v>
      </c>
      <c r="AC57" s="67">
        <v>0</v>
      </c>
      <c r="AD57" s="67">
        <v>0</v>
      </c>
      <c r="AE57" s="67">
        <v>0</v>
      </c>
      <c r="AF57" s="67">
        <v>0</v>
      </c>
      <c r="AG57" s="67">
        <v>0</v>
      </c>
      <c r="AH57" s="64"/>
      <c r="AI57" s="20"/>
    </row>
    <row r="58" spans="1:35" s="22" customFormat="1" ht="46.5" hidden="1" customHeight="1" x14ac:dyDescent="0.25">
      <c r="A58" s="435"/>
      <c r="B58" s="436"/>
      <c r="C58" s="124" t="s">
        <v>279</v>
      </c>
      <c r="D58" s="74">
        <f>SUM(J58,L58,N58,P58,R58,T58,V58,X58,Z58,AB58,AD58,AF58)</f>
        <v>0</v>
      </c>
      <c r="E58" s="74">
        <f>J58</f>
        <v>0</v>
      </c>
      <c r="F58" s="74">
        <f>G58</f>
        <v>0</v>
      </c>
      <c r="G58" s="74">
        <f>SUM(K58,M58,O58,Q58,S58,U58,W58,Y58,AA58,AC58,AE58,AG58)</f>
        <v>0</v>
      </c>
      <c r="H58" s="74">
        <f t="shared" si="13"/>
        <v>0</v>
      </c>
      <c r="I58" s="74">
        <f t="shared" si="14"/>
        <v>0</v>
      </c>
      <c r="J58" s="67">
        <v>0</v>
      </c>
      <c r="K58" s="67">
        <v>0</v>
      </c>
      <c r="L58" s="67">
        <v>0</v>
      </c>
      <c r="M58" s="67">
        <v>0</v>
      </c>
      <c r="N58" s="67">
        <v>0</v>
      </c>
      <c r="O58" s="67">
        <v>0</v>
      </c>
      <c r="P58" s="67">
        <v>0</v>
      </c>
      <c r="Q58" s="67">
        <v>0</v>
      </c>
      <c r="R58" s="67">
        <v>0</v>
      </c>
      <c r="S58" s="67">
        <v>0</v>
      </c>
      <c r="T58" s="67">
        <v>0</v>
      </c>
      <c r="U58" s="67">
        <v>0</v>
      </c>
      <c r="V58" s="67">
        <v>0</v>
      </c>
      <c r="W58" s="67">
        <v>0</v>
      </c>
      <c r="X58" s="67">
        <v>0</v>
      </c>
      <c r="Y58" s="67">
        <v>0</v>
      </c>
      <c r="Z58" s="67">
        <v>0</v>
      </c>
      <c r="AA58" s="67">
        <v>0</v>
      </c>
      <c r="AB58" s="67">
        <v>0</v>
      </c>
      <c r="AC58" s="67">
        <v>0</v>
      </c>
      <c r="AD58" s="67">
        <v>0</v>
      </c>
      <c r="AE58" s="67">
        <v>0</v>
      </c>
      <c r="AF58" s="67">
        <v>0</v>
      </c>
      <c r="AG58" s="67">
        <v>0</v>
      </c>
      <c r="AH58" s="64"/>
      <c r="AI58" s="20"/>
    </row>
    <row r="59" spans="1:35" s="22" customFormat="1" ht="18.75" customHeight="1" x14ac:dyDescent="0.25">
      <c r="A59" s="159" t="s">
        <v>154</v>
      </c>
      <c r="B59" s="426" t="s">
        <v>284</v>
      </c>
      <c r="C59" s="427"/>
      <c r="D59" s="427"/>
      <c r="E59" s="427"/>
      <c r="F59" s="427"/>
      <c r="G59" s="427"/>
      <c r="H59" s="427"/>
      <c r="I59" s="427"/>
      <c r="J59" s="427"/>
      <c r="K59" s="427"/>
      <c r="L59" s="427"/>
      <c r="M59" s="427"/>
      <c r="N59" s="427"/>
      <c r="O59" s="427"/>
      <c r="P59" s="427"/>
      <c r="Q59" s="427"/>
      <c r="R59" s="427"/>
      <c r="S59" s="427"/>
      <c r="T59" s="427"/>
      <c r="U59" s="427"/>
      <c r="V59" s="427"/>
      <c r="W59" s="427"/>
      <c r="X59" s="427"/>
      <c r="Y59" s="427"/>
      <c r="Z59" s="427"/>
      <c r="AA59" s="427"/>
      <c r="AB59" s="427"/>
      <c r="AC59" s="427"/>
      <c r="AD59" s="427"/>
      <c r="AE59" s="427"/>
      <c r="AF59" s="427"/>
      <c r="AG59" s="428"/>
      <c r="AH59" s="46"/>
    </row>
    <row r="60" spans="1:35" s="21" customFormat="1" ht="21" customHeight="1" x14ac:dyDescent="0.25">
      <c r="A60" s="373" t="s">
        <v>155</v>
      </c>
      <c r="B60" s="409" t="s">
        <v>285</v>
      </c>
      <c r="C60" s="123" t="s">
        <v>20</v>
      </c>
      <c r="D60" s="70">
        <f>D61+D62+D63+D64</f>
        <v>36868.422000000006</v>
      </c>
      <c r="E60" s="70">
        <f t="shared" ref="E60:G60" si="36">E61+E62+E63+E64</f>
        <v>4810.9960000000001</v>
      </c>
      <c r="F60" s="70">
        <f t="shared" si="36"/>
        <v>15853.96</v>
      </c>
      <c r="G60" s="70">
        <f t="shared" si="36"/>
        <v>15853.96</v>
      </c>
      <c r="H60" s="70">
        <f t="shared" si="13"/>
        <v>43.001460708028119</v>
      </c>
      <c r="I60" s="70">
        <f t="shared" si="14"/>
        <v>329.53592145992218</v>
      </c>
      <c r="J60" s="70">
        <f t="shared" ref="J60:AF60" si="37">J61+J62+J63+J64</f>
        <v>4810.9960000000001</v>
      </c>
      <c r="K60" s="70">
        <f t="shared" si="37"/>
        <v>2573.06</v>
      </c>
      <c r="L60" s="70">
        <f t="shared" si="37"/>
        <v>7661.8320000000003</v>
      </c>
      <c r="M60" s="70">
        <f t="shared" si="37"/>
        <v>6430.1100000000006</v>
      </c>
      <c r="N60" s="70">
        <f t="shared" si="37"/>
        <v>3098.8850000000002</v>
      </c>
      <c r="O60" s="70">
        <f t="shared" si="37"/>
        <v>3438.25</v>
      </c>
      <c r="P60" s="70">
        <f t="shared" si="37"/>
        <v>5802.4110000000001</v>
      </c>
      <c r="Q60" s="70">
        <f t="shared" si="37"/>
        <v>3412.54</v>
      </c>
      <c r="R60" s="70">
        <f t="shared" si="37"/>
        <v>5294.6540000000005</v>
      </c>
      <c r="S60" s="70">
        <f t="shared" si="37"/>
        <v>0</v>
      </c>
      <c r="T60" s="70">
        <f t="shared" si="37"/>
        <v>1496.7940000000001</v>
      </c>
      <c r="U60" s="70">
        <f t="shared" si="37"/>
        <v>0</v>
      </c>
      <c r="V60" s="70">
        <f t="shared" si="37"/>
        <v>2626.395</v>
      </c>
      <c r="W60" s="70">
        <f t="shared" si="37"/>
        <v>0</v>
      </c>
      <c r="X60" s="70">
        <f t="shared" si="37"/>
        <v>79.667000000000002</v>
      </c>
      <c r="Y60" s="70">
        <f t="shared" si="37"/>
        <v>0</v>
      </c>
      <c r="Z60" s="70">
        <f t="shared" si="37"/>
        <v>4799.6869999999999</v>
      </c>
      <c r="AA60" s="70">
        <f t="shared" si="37"/>
        <v>0</v>
      </c>
      <c r="AB60" s="70">
        <f t="shared" si="37"/>
        <v>500.267</v>
      </c>
      <c r="AC60" s="70">
        <f t="shared" si="37"/>
        <v>0</v>
      </c>
      <c r="AD60" s="70">
        <f t="shared" si="37"/>
        <v>682.56700000000001</v>
      </c>
      <c r="AE60" s="70">
        <f t="shared" si="37"/>
        <v>0</v>
      </c>
      <c r="AF60" s="70">
        <f t="shared" si="37"/>
        <v>14.266999999999999</v>
      </c>
      <c r="AG60" s="70">
        <f>AG61+AG62+AG63+AG64</f>
        <v>0</v>
      </c>
      <c r="AH60" s="60"/>
      <c r="AI60" s="23"/>
    </row>
    <row r="61" spans="1:35" s="21" customFormat="1" ht="21" hidden="1" customHeight="1" x14ac:dyDescent="0.25">
      <c r="A61" s="374"/>
      <c r="B61" s="430"/>
      <c r="C61" s="124" t="s">
        <v>52</v>
      </c>
      <c r="D61" s="70">
        <f>SUM(J61,L61,N61,P61,R61,T61,V61,X61,Z61,AB61,AD61,AF61)</f>
        <v>0</v>
      </c>
      <c r="E61" s="70">
        <f>J61</f>
        <v>0</v>
      </c>
      <c r="F61" s="70">
        <f>G61</f>
        <v>0</v>
      </c>
      <c r="G61" s="70">
        <f>SUM(K61,M61,O61,Q61,S61,U61,W61,Y61,AA61,AC61,AE61,AG61)</f>
        <v>0</v>
      </c>
      <c r="H61" s="70">
        <f t="shared" si="13"/>
        <v>0</v>
      </c>
      <c r="I61" s="70">
        <f t="shared" si="14"/>
        <v>0</v>
      </c>
      <c r="J61" s="70">
        <f t="shared" ref="J61:AF63" si="38">J66+J71</f>
        <v>0</v>
      </c>
      <c r="K61" s="70">
        <f t="shared" si="38"/>
        <v>0</v>
      </c>
      <c r="L61" s="70">
        <f t="shared" si="38"/>
        <v>0</v>
      </c>
      <c r="M61" s="70">
        <f t="shared" si="38"/>
        <v>0</v>
      </c>
      <c r="N61" s="70">
        <f t="shared" si="38"/>
        <v>0</v>
      </c>
      <c r="O61" s="70">
        <f t="shared" si="38"/>
        <v>0</v>
      </c>
      <c r="P61" s="70">
        <f t="shared" si="38"/>
        <v>0</v>
      </c>
      <c r="Q61" s="70">
        <f t="shared" si="38"/>
        <v>0</v>
      </c>
      <c r="R61" s="70">
        <f t="shared" si="38"/>
        <v>0</v>
      </c>
      <c r="S61" s="70">
        <f t="shared" si="38"/>
        <v>0</v>
      </c>
      <c r="T61" s="70">
        <f t="shared" si="38"/>
        <v>0</v>
      </c>
      <c r="U61" s="70">
        <f t="shared" si="38"/>
        <v>0</v>
      </c>
      <c r="V61" s="70">
        <f t="shared" si="38"/>
        <v>0</v>
      </c>
      <c r="W61" s="70">
        <f t="shared" si="38"/>
        <v>0</v>
      </c>
      <c r="X61" s="70">
        <f t="shared" si="38"/>
        <v>0</v>
      </c>
      <c r="Y61" s="70">
        <f t="shared" si="38"/>
        <v>0</v>
      </c>
      <c r="Z61" s="70">
        <f t="shared" si="38"/>
        <v>0</v>
      </c>
      <c r="AA61" s="70">
        <f t="shared" si="38"/>
        <v>0</v>
      </c>
      <c r="AB61" s="70">
        <f t="shared" si="38"/>
        <v>0</v>
      </c>
      <c r="AC61" s="70">
        <f t="shared" si="38"/>
        <v>0</v>
      </c>
      <c r="AD61" s="70">
        <f t="shared" si="38"/>
        <v>0</v>
      </c>
      <c r="AE61" s="70">
        <f t="shared" si="38"/>
        <v>0</v>
      </c>
      <c r="AF61" s="70">
        <f t="shared" si="38"/>
        <v>0</v>
      </c>
      <c r="AG61" s="70">
        <f>AG66+AG71</f>
        <v>0</v>
      </c>
      <c r="AH61" s="60"/>
      <c r="AI61" s="23"/>
    </row>
    <row r="62" spans="1:35" s="21" customFormat="1" ht="34.5" customHeight="1" x14ac:dyDescent="0.25">
      <c r="A62" s="374"/>
      <c r="B62" s="430"/>
      <c r="C62" s="124" t="s">
        <v>22</v>
      </c>
      <c r="D62" s="74">
        <f>SUM(J62,L62,N62,P62,R62,T62,V62,X62,Z62,AB62,AD62,AF62)</f>
        <v>14421.8</v>
      </c>
      <c r="E62" s="74">
        <f>J62</f>
        <v>0</v>
      </c>
      <c r="F62" s="74">
        <f>G62</f>
        <v>4874.92</v>
      </c>
      <c r="G62" s="74">
        <f>SUM(K62,M62,O62,Q62,S62,U62,W62,Y62,AA62,AC62,AE62,AG62)</f>
        <v>4874.92</v>
      </c>
      <c r="H62" s="74">
        <f t="shared" si="13"/>
        <v>33.802437975842132</v>
      </c>
      <c r="I62" s="74">
        <f t="shared" si="14"/>
        <v>0</v>
      </c>
      <c r="J62" s="74">
        <f t="shared" si="38"/>
        <v>0</v>
      </c>
      <c r="K62" s="74">
        <f t="shared" si="38"/>
        <v>0</v>
      </c>
      <c r="L62" s="74">
        <f t="shared" si="38"/>
        <v>3677.26</v>
      </c>
      <c r="M62" s="74">
        <f t="shared" si="38"/>
        <v>3677.26</v>
      </c>
      <c r="N62" s="74">
        <f t="shared" si="38"/>
        <v>0</v>
      </c>
      <c r="O62" s="74">
        <f t="shared" si="38"/>
        <v>0</v>
      </c>
      <c r="P62" s="74">
        <f t="shared" si="38"/>
        <v>4081.4870000000001</v>
      </c>
      <c r="Q62" s="74">
        <f t="shared" si="38"/>
        <v>1197.6600000000001</v>
      </c>
      <c r="R62" s="74">
        <f t="shared" si="38"/>
        <v>3087.0250000000001</v>
      </c>
      <c r="S62" s="74">
        <f t="shared" si="38"/>
        <v>0</v>
      </c>
      <c r="T62" s="74">
        <f t="shared" si="38"/>
        <v>0</v>
      </c>
      <c r="U62" s="74">
        <f t="shared" si="38"/>
        <v>0</v>
      </c>
      <c r="V62" s="74">
        <f t="shared" si="38"/>
        <v>0</v>
      </c>
      <c r="W62" s="74">
        <f t="shared" si="38"/>
        <v>0</v>
      </c>
      <c r="X62" s="74">
        <f t="shared" si="38"/>
        <v>0</v>
      </c>
      <c r="Y62" s="74">
        <f t="shared" si="38"/>
        <v>0</v>
      </c>
      <c r="Z62" s="74">
        <f t="shared" si="38"/>
        <v>3050.0129999999999</v>
      </c>
      <c r="AA62" s="74">
        <f t="shared" si="38"/>
        <v>0</v>
      </c>
      <c r="AB62" s="74">
        <f t="shared" si="38"/>
        <v>0</v>
      </c>
      <c r="AC62" s="74">
        <f t="shared" si="38"/>
        <v>0</v>
      </c>
      <c r="AD62" s="74">
        <f t="shared" si="38"/>
        <v>526.01499999999999</v>
      </c>
      <c r="AE62" s="74">
        <f t="shared" si="38"/>
        <v>0</v>
      </c>
      <c r="AF62" s="74">
        <f t="shared" si="38"/>
        <v>0</v>
      </c>
      <c r="AG62" s="74">
        <f>AG67+AG72</f>
        <v>0</v>
      </c>
      <c r="AH62" s="60"/>
      <c r="AI62" s="23"/>
    </row>
    <row r="63" spans="1:35" s="21" customFormat="1" ht="45" customHeight="1" x14ac:dyDescent="0.25">
      <c r="A63" s="374"/>
      <c r="B63" s="430"/>
      <c r="C63" s="124" t="s">
        <v>21</v>
      </c>
      <c r="D63" s="74">
        <f>SUM(J63,L63,N63,P63,R63,T63,V63,X63,Z63,AB63,AD63,AF63)</f>
        <v>22446.622000000003</v>
      </c>
      <c r="E63" s="74">
        <f>J63</f>
        <v>4810.9960000000001</v>
      </c>
      <c r="F63" s="74">
        <f>G63</f>
        <v>10979.039999999999</v>
      </c>
      <c r="G63" s="74">
        <f>SUM(K63,M63,O63,Q63,S63,U63,W63,Y63,AA63,AC63,AE63,AG63)</f>
        <v>10979.039999999999</v>
      </c>
      <c r="H63" s="74">
        <f t="shared" si="13"/>
        <v>48.911769441299441</v>
      </c>
      <c r="I63" s="74">
        <f t="shared" si="14"/>
        <v>228.20721530427375</v>
      </c>
      <c r="J63" s="67">
        <f t="shared" si="38"/>
        <v>4810.9960000000001</v>
      </c>
      <c r="K63" s="67">
        <f t="shared" si="38"/>
        <v>2573.06</v>
      </c>
      <c r="L63" s="67">
        <f t="shared" si="38"/>
        <v>3984.5720000000001</v>
      </c>
      <c r="M63" s="67">
        <f t="shared" si="38"/>
        <v>2752.85</v>
      </c>
      <c r="N63" s="67">
        <f t="shared" si="38"/>
        <v>3098.8850000000002</v>
      </c>
      <c r="O63" s="67">
        <f t="shared" si="38"/>
        <v>3438.25</v>
      </c>
      <c r="P63" s="67">
        <f t="shared" si="38"/>
        <v>1720.924</v>
      </c>
      <c r="Q63" s="67">
        <f t="shared" si="38"/>
        <v>2214.8799999999997</v>
      </c>
      <c r="R63" s="67">
        <f t="shared" si="38"/>
        <v>2207.6289999999999</v>
      </c>
      <c r="S63" s="67">
        <f t="shared" si="38"/>
        <v>0</v>
      </c>
      <c r="T63" s="67">
        <f t="shared" si="38"/>
        <v>1496.7940000000001</v>
      </c>
      <c r="U63" s="67">
        <f t="shared" si="38"/>
        <v>0</v>
      </c>
      <c r="V63" s="67">
        <f t="shared" si="38"/>
        <v>2626.395</v>
      </c>
      <c r="W63" s="67">
        <f t="shared" si="38"/>
        <v>0</v>
      </c>
      <c r="X63" s="67">
        <f t="shared" si="38"/>
        <v>79.667000000000002</v>
      </c>
      <c r="Y63" s="67">
        <f t="shared" si="38"/>
        <v>0</v>
      </c>
      <c r="Z63" s="67">
        <f t="shared" si="38"/>
        <v>1749.6740000000002</v>
      </c>
      <c r="AA63" s="67">
        <f t="shared" si="38"/>
        <v>0</v>
      </c>
      <c r="AB63" s="67">
        <f t="shared" si="38"/>
        <v>500.267</v>
      </c>
      <c r="AC63" s="67">
        <f t="shared" si="38"/>
        <v>0</v>
      </c>
      <c r="AD63" s="67">
        <f t="shared" si="38"/>
        <v>156.55199999999999</v>
      </c>
      <c r="AE63" s="67">
        <f t="shared" si="38"/>
        <v>0</v>
      </c>
      <c r="AF63" s="67">
        <f t="shared" si="38"/>
        <v>14.266999999999999</v>
      </c>
      <c r="AG63" s="67">
        <f>AG68+AG73</f>
        <v>0</v>
      </c>
      <c r="AH63" s="60"/>
      <c r="AI63" s="23"/>
    </row>
    <row r="64" spans="1:35" s="26" customFormat="1" ht="43.5" hidden="1" customHeight="1" x14ac:dyDescent="0.25">
      <c r="A64" s="375"/>
      <c r="B64" s="410"/>
      <c r="C64" s="124" t="s">
        <v>279</v>
      </c>
      <c r="D64" s="74">
        <f>SUM(J64,L64,N64,P64,R64,T64,V64,X64,Z64,AB64,AD64,AF64)</f>
        <v>0</v>
      </c>
      <c r="E64" s="74">
        <f>J64</f>
        <v>0</v>
      </c>
      <c r="F64" s="74">
        <f>G64</f>
        <v>0</v>
      </c>
      <c r="G64" s="74">
        <f>SUM(K64,M64,O64,Q64,S64,U64,W64,Y64,AA64,AC64,AE64,AG64)</f>
        <v>0</v>
      </c>
      <c r="H64" s="74">
        <f t="shared" si="13"/>
        <v>0</v>
      </c>
      <c r="I64" s="74">
        <f t="shared" si="14"/>
        <v>0</v>
      </c>
      <c r="J64" s="67">
        <v>0</v>
      </c>
      <c r="K64" s="67">
        <v>0</v>
      </c>
      <c r="L64" s="67">
        <v>0</v>
      </c>
      <c r="M64" s="67">
        <v>0</v>
      </c>
      <c r="N64" s="67">
        <v>0</v>
      </c>
      <c r="O64" s="67">
        <v>0</v>
      </c>
      <c r="P64" s="67">
        <v>0</v>
      </c>
      <c r="Q64" s="67">
        <v>0</v>
      </c>
      <c r="R64" s="67">
        <v>0</v>
      </c>
      <c r="S64" s="67">
        <v>0</v>
      </c>
      <c r="T64" s="67">
        <v>0</v>
      </c>
      <c r="U64" s="67">
        <v>0</v>
      </c>
      <c r="V64" s="67">
        <v>0</v>
      </c>
      <c r="W64" s="67">
        <v>0</v>
      </c>
      <c r="X64" s="67">
        <v>0</v>
      </c>
      <c r="Y64" s="67">
        <v>0</v>
      </c>
      <c r="Z64" s="67">
        <v>0</v>
      </c>
      <c r="AA64" s="67">
        <v>0</v>
      </c>
      <c r="AB64" s="67">
        <v>0</v>
      </c>
      <c r="AC64" s="67">
        <v>0</v>
      </c>
      <c r="AD64" s="67">
        <v>0</v>
      </c>
      <c r="AE64" s="67">
        <v>0</v>
      </c>
      <c r="AF64" s="67">
        <v>0</v>
      </c>
      <c r="AG64" s="67">
        <v>0</v>
      </c>
      <c r="AH64" s="75"/>
      <c r="AI64" s="24"/>
    </row>
    <row r="65" spans="1:35" s="22" customFormat="1" ht="30.75" customHeight="1" x14ac:dyDescent="0.25">
      <c r="A65" s="379" t="s">
        <v>286</v>
      </c>
      <c r="B65" s="411" t="s">
        <v>295</v>
      </c>
      <c r="C65" s="123" t="s">
        <v>20</v>
      </c>
      <c r="D65" s="70">
        <f>D66+D67+D68+D69</f>
        <v>6820.8</v>
      </c>
      <c r="E65" s="70">
        <f t="shared" ref="E65:G65" si="39">E66+E67+E68+E69</f>
        <v>2179.75</v>
      </c>
      <c r="F65" s="70">
        <f t="shared" si="39"/>
        <v>2855.9</v>
      </c>
      <c r="G65" s="70">
        <f t="shared" si="39"/>
        <v>2855.9</v>
      </c>
      <c r="H65" s="70">
        <f t="shared" si="13"/>
        <v>41.870455078583156</v>
      </c>
      <c r="I65" s="70">
        <f t="shared" si="14"/>
        <v>131.0196123408648</v>
      </c>
      <c r="J65" s="71">
        <f t="shared" ref="J65:AF65" si="40">J66+J67+J68+J69</f>
        <v>2179.75</v>
      </c>
      <c r="K65" s="71">
        <f t="shared" si="40"/>
        <v>932.76</v>
      </c>
      <c r="L65" s="71">
        <f t="shared" si="40"/>
        <v>2598.33</v>
      </c>
      <c r="M65" s="71">
        <f t="shared" si="40"/>
        <v>980.85</v>
      </c>
      <c r="N65" s="71">
        <f t="shared" si="40"/>
        <v>0</v>
      </c>
      <c r="O65" s="71">
        <f t="shared" si="40"/>
        <v>788.69</v>
      </c>
      <c r="P65" s="71">
        <f t="shared" si="40"/>
        <v>0</v>
      </c>
      <c r="Q65" s="71">
        <f t="shared" si="40"/>
        <v>153.6</v>
      </c>
      <c r="R65" s="71">
        <f t="shared" si="40"/>
        <v>467.84</v>
      </c>
      <c r="S65" s="71">
        <f t="shared" si="40"/>
        <v>0</v>
      </c>
      <c r="T65" s="71">
        <f t="shared" si="40"/>
        <v>0</v>
      </c>
      <c r="U65" s="71">
        <f t="shared" si="40"/>
        <v>0</v>
      </c>
      <c r="V65" s="71">
        <f t="shared" si="40"/>
        <v>0</v>
      </c>
      <c r="W65" s="71">
        <f t="shared" si="40"/>
        <v>0</v>
      </c>
      <c r="X65" s="71">
        <f t="shared" si="40"/>
        <v>0</v>
      </c>
      <c r="Y65" s="71">
        <f t="shared" si="40"/>
        <v>0</v>
      </c>
      <c r="Z65" s="71">
        <f t="shared" si="40"/>
        <v>1574.88</v>
      </c>
      <c r="AA65" s="71">
        <f t="shared" si="40"/>
        <v>0</v>
      </c>
      <c r="AB65" s="71">
        <f t="shared" si="40"/>
        <v>0</v>
      </c>
      <c r="AC65" s="71">
        <f t="shared" si="40"/>
        <v>0</v>
      </c>
      <c r="AD65" s="71">
        <f t="shared" si="40"/>
        <v>0</v>
      </c>
      <c r="AE65" s="71">
        <f t="shared" si="40"/>
        <v>0</v>
      </c>
      <c r="AF65" s="71">
        <f t="shared" si="40"/>
        <v>0</v>
      </c>
      <c r="AG65" s="71">
        <f>AG66+AG67+AG68+AG69</f>
        <v>0</v>
      </c>
      <c r="AH65" s="60"/>
      <c r="AI65" s="20"/>
    </row>
    <row r="66" spans="1:35" s="22" customFormat="1" ht="30.75" hidden="1" customHeight="1" x14ac:dyDescent="0.25">
      <c r="A66" s="380"/>
      <c r="B66" s="412"/>
      <c r="C66" s="124" t="s">
        <v>52</v>
      </c>
      <c r="D66" s="74">
        <f>SUM(J66,L66,N66,P66,R66,T66,V66,X66,Z66,AB66,AD66,AF66)</f>
        <v>0</v>
      </c>
      <c r="E66" s="74">
        <f>J66</f>
        <v>0</v>
      </c>
      <c r="F66" s="74">
        <f>G66</f>
        <v>0</v>
      </c>
      <c r="G66" s="74">
        <f>SUM(K66,M66,O66,Q66,S66,U66,W66,Y66,AA66,AC66,AE66,AG66)</f>
        <v>0</v>
      </c>
      <c r="H66" s="74">
        <f>IFERROR(G66/D66*100,0)</f>
        <v>0</v>
      </c>
      <c r="I66" s="74">
        <f>IFERROR(G66/E66*100,0)</f>
        <v>0</v>
      </c>
      <c r="J66" s="67">
        <v>0</v>
      </c>
      <c r="K66" s="67">
        <v>0</v>
      </c>
      <c r="L66" s="67">
        <v>0</v>
      </c>
      <c r="M66" s="67">
        <v>0</v>
      </c>
      <c r="N66" s="67">
        <v>0</v>
      </c>
      <c r="O66" s="67">
        <v>0</v>
      </c>
      <c r="P66" s="67">
        <v>0</v>
      </c>
      <c r="Q66" s="67">
        <v>0</v>
      </c>
      <c r="R66" s="67">
        <v>0</v>
      </c>
      <c r="S66" s="67">
        <v>0</v>
      </c>
      <c r="T66" s="67">
        <v>0</v>
      </c>
      <c r="U66" s="67">
        <v>0</v>
      </c>
      <c r="V66" s="67">
        <v>0</v>
      </c>
      <c r="W66" s="67">
        <v>0</v>
      </c>
      <c r="X66" s="67">
        <v>0</v>
      </c>
      <c r="Y66" s="67">
        <v>0</v>
      </c>
      <c r="Z66" s="67">
        <v>0</v>
      </c>
      <c r="AA66" s="67">
        <v>0</v>
      </c>
      <c r="AB66" s="67">
        <v>0</v>
      </c>
      <c r="AC66" s="67">
        <v>0</v>
      </c>
      <c r="AD66" s="67">
        <v>0</v>
      </c>
      <c r="AE66" s="67">
        <v>0</v>
      </c>
      <c r="AF66" s="67">
        <v>0</v>
      </c>
      <c r="AG66" s="67">
        <v>0</v>
      </c>
      <c r="AH66" s="60"/>
      <c r="AI66" s="20"/>
    </row>
    <row r="67" spans="1:35" s="22" customFormat="1" ht="30.75" customHeight="1" x14ac:dyDescent="0.25">
      <c r="A67" s="380"/>
      <c r="B67" s="412"/>
      <c r="C67" s="124" t="s">
        <v>22</v>
      </c>
      <c r="D67" s="74">
        <f>SUM(J67,L67,N67,P67,R67,T67,V67,X67,Z67,AB67,AD67,AF67)</f>
        <v>0</v>
      </c>
      <c r="E67" s="74">
        <f>J67</f>
        <v>0</v>
      </c>
      <c r="F67" s="74">
        <f>G67</f>
        <v>0</v>
      </c>
      <c r="G67" s="74">
        <f>SUM(K67,M67,O67,Q67,S67,U67,W67,Y67,AA67,AC67,AE67,AG67)</f>
        <v>0</v>
      </c>
      <c r="H67" s="74">
        <f>IFERROR(G67/D67*100,0)</f>
        <v>0</v>
      </c>
      <c r="I67" s="74">
        <f>IFERROR(G67/E67*100,0)</f>
        <v>0</v>
      </c>
      <c r="J67" s="67">
        <v>0</v>
      </c>
      <c r="K67" s="67">
        <v>0</v>
      </c>
      <c r="L67" s="67">
        <v>0</v>
      </c>
      <c r="M67" s="67">
        <v>0</v>
      </c>
      <c r="N67" s="67">
        <v>0</v>
      </c>
      <c r="O67" s="67">
        <v>0</v>
      </c>
      <c r="P67" s="67">
        <v>0</v>
      </c>
      <c r="Q67" s="67">
        <v>0</v>
      </c>
      <c r="R67" s="67">
        <v>0</v>
      </c>
      <c r="S67" s="67">
        <v>0</v>
      </c>
      <c r="T67" s="67">
        <v>0</v>
      </c>
      <c r="U67" s="67">
        <v>0</v>
      </c>
      <c r="V67" s="67">
        <v>0</v>
      </c>
      <c r="W67" s="67">
        <v>0</v>
      </c>
      <c r="X67" s="67">
        <v>0</v>
      </c>
      <c r="Y67" s="67">
        <v>0</v>
      </c>
      <c r="Z67" s="67">
        <v>0</v>
      </c>
      <c r="AA67" s="67">
        <v>0</v>
      </c>
      <c r="AB67" s="67">
        <v>0</v>
      </c>
      <c r="AC67" s="67">
        <v>0</v>
      </c>
      <c r="AD67" s="67">
        <v>0</v>
      </c>
      <c r="AE67" s="67">
        <v>0</v>
      </c>
      <c r="AF67" s="67">
        <v>0</v>
      </c>
      <c r="AG67" s="67">
        <v>0</v>
      </c>
      <c r="AH67" s="60"/>
      <c r="AI67" s="20"/>
    </row>
    <row r="68" spans="1:35" s="22" customFormat="1" ht="54" customHeight="1" x14ac:dyDescent="0.25">
      <c r="A68" s="380"/>
      <c r="B68" s="412"/>
      <c r="C68" s="124" t="s">
        <v>21</v>
      </c>
      <c r="D68" s="74">
        <f>SUM(J68,L68,N68,P68,R68,T68,V68,X68,Z68,AB68,AD68,AF68)</f>
        <v>6820.8</v>
      </c>
      <c r="E68" s="74">
        <f>J68</f>
        <v>2179.75</v>
      </c>
      <c r="F68" s="74">
        <f>G68</f>
        <v>2855.9</v>
      </c>
      <c r="G68" s="74">
        <f>SUM(K68,M68,O68,Q68,S68,U68,W68,Y68,AA68,AC68,AE68,AG68)</f>
        <v>2855.9</v>
      </c>
      <c r="H68" s="74">
        <f>IFERROR(G68/D68*100,0)</f>
        <v>41.870455078583156</v>
      </c>
      <c r="I68" s="74">
        <f>IFERROR(G68/E68*100,0)</f>
        <v>131.0196123408648</v>
      </c>
      <c r="J68" s="67">
        <v>2179.75</v>
      </c>
      <c r="K68" s="67">
        <v>932.76</v>
      </c>
      <c r="L68" s="67">
        <v>2598.33</v>
      </c>
      <c r="M68" s="275">
        <v>980.85</v>
      </c>
      <c r="N68" s="67">
        <v>0</v>
      </c>
      <c r="O68" s="67">
        <v>788.69</v>
      </c>
      <c r="P68" s="67">
        <v>0</v>
      </c>
      <c r="Q68" s="67">
        <v>153.6</v>
      </c>
      <c r="R68" s="67">
        <v>467.84</v>
      </c>
      <c r="S68" s="67">
        <v>0</v>
      </c>
      <c r="T68" s="67">
        <v>0</v>
      </c>
      <c r="U68" s="67">
        <v>0</v>
      </c>
      <c r="V68" s="67">
        <v>0</v>
      </c>
      <c r="W68" s="67">
        <v>0</v>
      </c>
      <c r="X68" s="67">
        <v>0</v>
      </c>
      <c r="Y68" s="67">
        <v>0</v>
      </c>
      <c r="Z68" s="67">
        <v>1574.88</v>
      </c>
      <c r="AA68" s="67">
        <v>0</v>
      </c>
      <c r="AB68" s="67">
        <v>0</v>
      </c>
      <c r="AC68" s="67">
        <v>0</v>
      </c>
      <c r="AD68" s="67">
        <v>0</v>
      </c>
      <c r="AE68" s="67">
        <v>0</v>
      </c>
      <c r="AF68" s="67">
        <v>0</v>
      </c>
      <c r="AG68" s="67">
        <v>0</v>
      </c>
      <c r="AH68" s="60"/>
      <c r="AI68" s="20"/>
    </row>
    <row r="69" spans="1:35" s="22" customFormat="1" ht="46.5" hidden="1" customHeight="1" x14ac:dyDescent="0.25">
      <c r="A69" s="374"/>
      <c r="B69" s="412"/>
      <c r="C69" s="124" t="s">
        <v>114</v>
      </c>
      <c r="D69" s="74">
        <f>SUM(J69,L69,N69,P69,R69,T69,V69,X69,Z69,AB69,AD69,AF69)</f>
        <v>0</v>
      </c>
      <c r="E69" s="74">
        <f>J69</f>
        <v>0</v>
      </c>
      <c r="F69" s="74">
        <f>G69</f>
        <v>0</v>
      </c>
      <c r="G69" s="74">
        <f>SUM(K69,M69,O69,Q69,S69,U69,W69,Y69,AA69,AC69,AE69,AG69)</f>
        <v>0</v>
      </c>
      <c r="H69" s="74">
        <f>IFERROR(G69/D69*100,0)</f>
        <v>0</v>
      </c>
      <c r="I69" s="74">
        <f>IFERROR(G69/E69*100,0)</f>
        <v>0</v>
      </c>
      <c r="J69" s="67">
        <v>0</v>
      </c>
      <c r="K69" s="67">
        <v>0</v>
      </c>
      <c r="L69" s="67">
        <v>0</v>
      </c>
      <c r="M69" s="67">
        <v>0</v>
      </c>
      <c r="N69" s="67">
        <v>0</v>
      </c>
      <c r="O69" s="67">
        <v>0</v>
      </c>
      <c r="P69" s="67">
        <v>0</v>
      </c>
      <c r="Q69" s="67">
        <v>0</v>
      </c>
      <c r="R69" s="67">
        <v>0</v>
      </c>
      <c r="S69" s="67">
        <v>0</v>
      </c>
      <c r="T69" s="67">
        <v>0</v>
      </c>
      <c r="U69" s="67">
        <v>0</v>
      </c>
      <c r="V69" s="67">
        <v>0</v>
      </c>
      <c r="W69" s="67">
        <v>0</v>
      </c>
      <c r="X69" s="67">
        <v>0</v>
      </c>
      <c r="Y69" s="67">
        <v>0</v>
      </c>
      <c r="Z69" s="67">
        <v>0</v>
      </c>
      <c r="AA69" s="67">
        <v>0</v>
      </c>
      <c r="AB69" s="67">
        <v>0</v>
      </c>
      <c r="AC69" s="67">
        <v>0</v>
      </c>
      <c r="AD69" s="67">
        <v>0</v>
      </c>
      <c r="AE69" s="67">
        <v>0</v>
      </c>
      <c r="AF69" s="67">
        <v>0</v>
      </c>
      <c r="AG69" s="67">
        <v>0</v>
      </c>
      <c r="AH69" s="60"/>
      <c r="AI69" s="20"/>
    </row>
    <row r="70" spans="1:35" s="21" customFormat="1" ht="33.75" customHeight="1" x14ac:dyDescent="0.25">
      <c r="A70" s="373" t="s">
        <v>287</v>
      </c>
      <c r="B70" s="411" t="s">
        <v>288</v>
      </c>
      <c r="C70" s="123" t="s">
        <v>20</v>
      </c>
      <c r="D70" s="70">
        <f>D71+D72+D73+D74</f>
        <v>30047.621999999999</v>
      </c>
      <c r="E70" s="70">
        <f t="shared" ref="E70:G70" si="41">E71+E72+E73+E74</f>
        <v>2631.2460000000001</v>
      </c>
      <c r="F70" s="70">
        <f t="shared" si="41"/>
        <v>12998.060000000001</v>
      </c>
      <c r="G70" s="70">
        <f t="shared" si="41"/>
        <v>12998.060000000001</v>
      </c>
      <c r="H70" s="70">
        <f t="shared" ref="H70:H74" si="42">IFERROR(G70/D70*100,0)</f>
        <v>43.258198602205532</v>
      </c>
      <c r="I70" s="70">
        <f t="shared" ref="I70:I74" si="43">IFERROR(G70/E70*100,0)</f>
        <v>493.98877946037737</v>
      </c>
      <c r="J70" s="70">
        <f t="shared" ref="J70:AF70" si="44">J71+J72+J73+J74</f>
        <v>2631.2460000000001</v>
      </c>
      <c r="K70" s="70">
        <f t="shared" si="44"/>
        <v>1640.3</v>
      </c>
      <c r="L70" s="70">
        <f t="shared" si="44"/>
        <v>5063.5020000000004</v>
      </c>
      <c r="M70" s="70">
        <f t="shared" si="44"/>
        <v>5449.26</v>
      </c>
      <c r="N70" s="70">
        <f t="shared" si="44"/>
        <v>3098.8850000000002</v>
      </c>
      <c r="O70" s="70">
        <f t="shared" si="44"/>
        <v>2649.56</v>
      </c>
      <c r="P70" s="70">
        <f t="shared" si="44"/>
        <v>5802.4110000000001</v>
      </c>
      <c r="Q70" s="70">
        <f t="shared" si="44"/>
        <v>3258.9399999999996</v>
      </c>
      <c r="R70" s="70">
        <f t="shared" si="44"/>
        <v>4826.8140000000003</v>
      </c>
      <c r="S70" s="70">
        <f t="shared" si="44"/>
        <v>0</v>
      </c>
      <c r="T70" s="70">
        <f t="shared" si="44"/>
        <v>1496.7940000000001</v>
      </c>
      <c r="U70" s="70">
        <f t="shared" si="44"/>
        <v>0</v>
      </c>
      <c r="V70" s="70">
        <f t="shared" si="44"/>
        <v>2626.395</v>
      </c>
      <c r="W70" s="70">
        <f t="shared" si="44"/>
        <v>0</v>
      </c>
      <c r="X70" s="70">
        <f t="shared" si="44"/>
        <v>79.667000000000002</v>
      </c>
      <c r="Y70" s="70">
        <f t="shared" si="44"/>
        <v>0</v>
      </c>
      <c r="Z70" s="70">
        <f t="shared" si="44"/>
        <v>3224.8069999999998</v>
      </c>
      <c r="AA70" s="70">
        <f t="shared" si="44"/>
        <v>0</v>
      </c>
      <c r="AB70" s="70">
        <f t="shared" si="44"/>
        <v>500.267</v>
      </c>
      <c r="AC70" s="70">
        <f t="shared" si="44"/>
        <v>0</v>
      </c>
      <c r="AD70" s="70">
        <f t="shared" si="44"/>
        <v>682.56700000000001</v>
      </c>
      <c r="AE70" s="70">
        <f t="shared" si="44"/>
        <v>0</v>
      </c>
      <c r="AF70" s="70">
        <f t="shared" si="44"/>
        <v>14.266999999999999</v>
      </c>
      <c r="AG70" s="70">
        <f>AG71+AG72+AG73+AG74</f>
        <v>0</v>
      </c>
      <c r="AH70" s="60"/>
      <c r="AI70" s="23"/>
    </row>
    <row r="71" spans="1:35" s="21" customFormat="1" ht="36" hidden="1" customHeight="1" x14ac:dyDescent="0.25">
      <c r="A71" s="374"/>
      <c r="B71" s="412"/>
      <c r="C71" s="124" t="s">
        <v>52</v>
      </c>
      <c r="D71" s="74">
        <f>SUM(J71,L71,N71,P71,R71,T71,V71,X71,Z71,AB71,AD71,AF71)</f>
        <v>0</v>
      </c>
      <c r="E71" s="74">
        <f>J71</f>
        <v>0</v>
      </c>
      <c r="F71" s="74">
        <f>G71</f>
        <v>0</v>
      </c>
      <c r="G71" s="74">
        <f>SUM(K71,M71,O71,Q71,S71,U71,W71,Y71,AA71,AC71,AE71,AG71)</f>
        <v>0</v>
      </c>
      <c r="H71" s="74">
        <f t="shared" si="42"/>
        <v>0</v>
      </c>
      <c r="I71" s="74">
        <f t="shared" si="43"/>
        <v>0</v>
      </c>
      <c r="J71" s="74">
        <v>0</v>
      </c>
      <c r="K71" s="74">
        <v>0</v>
      </c>
      <c r="L71" s="74">
        <v>0</v>
      </c>
      <c r="M71" s="74">
        <v>0</v>
      </c>
      <c r="N71" s="74">
        <v>0</v>
      </c>
      <c r="O71" s="74">
        <v>0</v>
      </c>
      <c r="P71" s="74">
        <v>0</v>
      </c>
      <c r="Q71" s="74">
        <v>0</v>
      </c>
      <c r="R71" s="74">
        <v>0</v>
      </c>
      <c r="S71" s="74">
        <v>0</v>
      </c>
      <c r="T71" s="74">
        <v>0</v>
      </c>
      <c r="U71" s="74">
        <v>0</v>
      </c>
      <c r="V71" s="74">
        <v>0</v>
      </c>
      <c r="W71" s="74">
        <v>0</v>
      </c>
      <c r="X71" s="74">
        <v>0</v>
      </c>
      <c r="Y71" s="74">
        <v>0</v>
      </c>
      <c r="Z71" s="74">
        <v>0</v>
      </c>
      <c r="AA71" s="74">
        <v>0</v>
      </c>
      <c r="AB71" s="74">
        <v>0</v>
      </c>
      <c r="AC71" s="74">
        <v>0</v>
      </c>
      <c r="AD71" s="74">
        <v>0</v>
      </c>
      <c r="AE71" s="74">
        <v>0</v>
      </c>
      <c r="AF71" s="74">
        <v>0</v>
      </c>
      <c r="AG71" s="74">
        <v>0</v>
      </c>
      <c r="AH71" s="60"/>
      <c r="AI71" s="23"/>
    </row>
    <row r="72" spans="1:35" s="21" customFormat="1" ht="37.5" customHeight="1" x14ac:dyDescent="0.25">
      <c r="A72" s="374"/>
      <c r="B72" s="412"/>
      <c r="C72" s="124" t="s">
        <v>22</v>
      </c>
      <c r="D72" s="74">
        <f>SUM(J72,L72,N72,P72,R72,T72,V72,X72,Z72,AB72,AD72,AF72)</f>
        <v>14421.8</v>
      </c>
      <c r="E72" s="74">
        <f>J72</f>
        <v>0</v>
      </c>
      <c r="F72" s="74">
        <f>G72</f>
        <v>4874.92</v>
      </c>
      <c r="G72" s="74">
        <f>SUM(K72,M72,O72,Q72,S72,U72,W72,Y72,AA72,AC72,AE72,AG72)</f>
        <v>4874.92</v>
      </c>
      <c r="H72" s="74">
        <f t="shared" si="42"/>
        <v>33.802437975842132</v>
      </c>
      <c r="I72" s="74">
        <f t="shared" si="43"/>
        <v>0</v>
      </c>
      <c r="J72" s="67">
        <v>0</v>
      </c>
      <c r="K72" s="67">
        <v>0</v>
      </c>
      <c r="L72" s="67">
        <v>3677.26</v>
      </c>
      <c r="M72" s="275">
        <v>3677.26</v>
      </c>
      <c r="N72" s="67">
        <v>0</v>
      </c>
      <c r="O72" s="67">
        <v>0</v>
      </c>
      <c r="P72" s="67">
        <f>3204.487+877</f>
        <v>4081.4870000000001</v>
      </c>
      <c r="Q72" s="67">
        <v>1197.6600000000001</v>
      </c>
      <c r="R72" s="67">
        <v>3087.0250000000001</v>
      </c>
      <c r="S72" s="67">
        <v>0</v>
      </c>
      <c r="T72" s="67">
        <v>0</v>
      </c>
      <c r="U72" s="67">
        <v>0</v>
      </c>
      <c r="V72" s="67">
        <v>0</v>
      </c>
      <c r="W72" s="67">
        <v>0</v>
      </c>
      <c r="X72" s="67">
        <v>0</v>
      </c>
      <c r="Y72" s="67">
        <v>0</v>
      </c>
      <c r="Z72" s="67">
        <v>3050.0129999999999</v>
      </c>
      <c r="AA72" s="67">
        <v>0</v>
      </c>
      <c r="AB72" s="67">
        <v>0</v>
      </c>
      <c r="AC72" s="67">
        <v>0</v>
      </c>
      <c r="AD72" s="67">
        <v>526.01499999999999</v>
      </c>
      <c r="AE72" s="67">
        <v>0</v>
      </c>
      <c r="AF72" s="67">
        <v>0</v>
      </c>
      <c r="AG72" s="67">
        <v>0</v>
      </c>
      <c r="AH72" s="60"/>
      <c r="AI72" s="23"/>
    </row>
    <row r="73" spans="1:35" s="21" customFormat="1" ht="37.5" customHeight="1" x14ac:dyDescent="0.25">
      <c r="A73" s="374"/>
      <c r="B73" s="412"/>
      <c r="C73" s="124" t="s">
        <v>21</v>
      </c>
      <c r="D73" s="74">
        <f>SUM(J73,L73,N73,P73,R73,T73,V73,X73,Z73,AB73,AD73,AF73)</f>
        <v>15625.822</v>
      </c>
      <c r="E73" s="74">
        <f>J73</f>
        <v>2631.2460000000001</v>
      </c>
      <c r="F73" s="74">
        <f>G73</f>
        <v>8123.14</v>
      </c>
      <c r="G73" s="74">
        <f>SUM(K73,M73,O73,Q73,S73,U73,W73,Y73,AA73,AC73,AE73,AG73)</f>
        <v>8123.14</v>
      </c>
      <c r="H73" s="74">
        <f t="shared" si="42"/>
        <v>51.985361154120405</v>
      </c>
      <c r="I73" s="74">
        <f t="shared" si="43"/>
        <v>308.71837904931732</v>
      </c>
      <c r="J73" s="67">
        <v>2631.2460000000001</v>
      </c>
      <c r="K73" s="67">
        <v>1640.3</v>
      </c>
      <c r="L73" s="67">
        <v>1386.242</v>
      </c>
      <c r="M73" s="275">
        <f>1394.06+377.94</f>
        <v>1772</v>
      </c>
      <c r="N73" s="67">
        <v>3098.8850000000002</v>
      </c>
      <c r="O73" s="67">
        <v>2649.56</v>
      </c>
      <c r="P73" s="67">
        <v>1720.924</v>
      </c>
      <c r="Q73" s="67">
        <f>1370.58+690.7</f>
        <v>2061.2799999999997</v>
      </c>
      <c r="R73" s="67">
        <v>1739.789</v>
      </c>
      <c r="S73" s="67">
        <v>0</v>
      </c>
      <c r="T73" s="67">
        <v>1496.7940000000001</v>
      </c>
      <c r="U73" s="67">
        <v>0</v>
      </c>
      <c r="V73" s="67">
        <v>2626.395</v>
      </c>
      <c r="W73" s="67">
        <v>0</v>
      </c>
      <c r="X73" s="67">
        <v>79.667000000000002</v>
      </c>
      <c r="Y73" s="67">
        <v>0</v>
      </c>
      <c r="Z73" s="67">
        <v>174.79400000000001</v>
      </c>
      <c r="AA73" s="67">
        <v>0</v>
      </c>
      <c r="AB73" s="67">
        <v>500.267</v>
      </c>
      <c r="AC73" s="67">
        <v>0</v>
      </c>
      <c r="AD73" s="67">
        <v>156.55199999999999</v>
      </c>
      <c r="AE73" s="67">
        <v>0</v>
      </c>
      <c r="AF73" s="67">
        <v>14.266999999999999</v>
      </c>
      <c r="AG73" s="67">
        <v>0</v>
      </c>
      <c r="AH73" s="60"/>
      <c r="AI73" s="23"/>
    </row>
    <row r="74" spans="1:35" s="22" customFormat="1" ht="36" hidden="1" customHeight="1" x14ac:dyDescent="0.25">
      <c r="A74" s="375"/>
      <c r="B74" s="429"/>
      <c r="C74" s="124" t="s">
        <v>114</v>
      </c>
      <c r="D74" s="74">
        <f>SUM(J74,L74,N74,P74,R74,T74,V74,X74,Z74,AB74,AD74,AF74)</f>
        <v>0</v>
      </c>
      <c r="E74" s="74">
        <f>J74</f>
        <v>0</v>
      </c>
      <c r="F74" s="74">
        <f>G74</f>
        <v>0</v>
      </c>
      <c r="G74" s="74">
        <f>SUM(K74,M74,O74,Q74,S74,U74,W74,Y74,AA74,AC74,AE74,AG74)</f>
        <v>0</v>
      </c>
      <c r="H74" s="74">
        <f t="shared" si="42"/>
        <v>0</v>
      </c>
      <c r="I74" s="74">
        <f t="shared" si="43"/>
        <v>0</v>
      </c>
      <c r="J74" s="67">
        <v>0</v>
      </c>
      <c r="K74" s="67">
        <v>0</v>
      </c>
      <c r="L74" s="67">
        <v>0</v>
      </c>
      <c r="M74" s="67">
        <v>0</v>
      </c>
      <c r="N74" s="67">
        <v>0</v>
      </c>
      <c r="O74" s="67">
        <v>0</v>
      </c>
      <c r="P74" s="67">
        <v>0</v>
      </c>
      <c r="Q74" s="67">
        <v>0</v>
      </c>
      <c r="R74" s="67">
        <v>0</v>
      </c>
      <c r="S74" s="67">
        <v>0</v>
      </c>
      <c r="T74" s="67">
        <v>0</v>
      </c>
      <c r="U74" s="67">
        <v>0</v>
      </c>
      <c r="V74" s="67">
        <v>0</v>
      </c>
      <c r="W74" s="67">
        <v>0</v>
      </c>
      <c r="X74" s="67">
        <v>0</v>
      </c>
      <c r="Y74" s="67">
        <v>0</v>
      </c>
      <c r="Z74" s="67">
        <v>0</v>
      </c>
      <c r="AA74" s="67">
        <v>0</v>
      </c>
      <c r="AB74" s="67">
        <v>0</v>
      </c>
      <c r="AC74" s="67">
        <v>0</v>
      </c>
      <c r="AD74" s="67">
        <v>0</v>
      </c>
      <c r="AE74" s="67">
        <v>0</v>
      </c>
      <c r="AF74" s="67">
        <v>0</v>
      </c>
      <c r="AG74" s="67">
        <v>0</v>
      </c>
      <c r="AH74" s="64"/>
      <c r="AI74" s="20"/>
    </row>
    <row r="75" spans="1:35" s="18" customFormat="1" ht="18.75" customHeight="1" x14ac:dyDescent="0.25">
      <c r="A75" s="159" t="s">
        <v>157</v>
      </c>
      <c r="B75" s="426" t="s">
        <v>289</v>
      </c>
      <c r="C75" s="427"/>
      <c r="D75" s="427"/>
      <c r="E75" s="427"/>
      <c r="F75" s="427"/>
      <c r="G75" s="427"/>
      <c r="H75" s="427"/>
      <c r="I75" s="427"/>
      <c r="J75" s="427"/>
      <c r="K75" s="427"/>
      <c r="L75" s="427"/>
      <c r="M75" s="427"/>
      <c r="N75" s="427"/>
      <c r="O75" s="427"/>
      <c r="P75" s="427"/>
      <c r="Q75" s="427"/>
      <c r="R75" s="427"/>
      <c r="S75" s="427"/>
      <c r="T75" s="427"/>
      <c r="U75" s="427"/>
      <c r="V75" s="427"/>
      <c r="W75" s="427"/>
      <c r="X75" s="427"/>
      <c r="Y75" s="427"/>
      <c r="Z75" s="427"/>
      <c r="AA75" s="427"/>
      <c r="AB75" s="427"/>
      <c r="AC75" s="427"/>
      <c r="AD75" s="427"/>
      <c r="AE75" s="427"/>
      <c r="AF75" s="427"/>
      <c r="AG75" s="428"/>
      <c r="AH75" s="46"/>
    </row>
    <row r="76" spans="1:35" s="22" customFormat="1" ht="63" customHeight="1" x14ac:dyDescent="0.25">
      <c r="A76" s="379" t="s">
        <v>158</v>
      </c>
      <c r="B76" s="367" t="s">
        <v>290</v>
      </c>
      <c r="C76" s="123" t="s">
        <v>20</v>
      </c>
      <c r="D76" s="70">
        <f>D77+D78+D79+D80</f>
        <v>6262.3010000000004</v>
      </c>
      <c r="E76" s="70">
        <f t="shared" ref="E76:G76" si="45">E80+E79</f>
        <v>76.144000000000005</v>
      </c>
      <c r="F76" s="70">
        <f t="shared" si="45"/>
        <v>6109.25</v>
      </c>
      <c r="G76" s="70">
        <f t="shared" si="45"/>
        <v>6109.25</v>
      </c>
      <c r="H76" s="70">
        <f t="shared" si="13"/>
        <v>97.555994194466209</v>
      </c>
      <c r="I76" s="70">
        <f t="shared" si="14"/>
        <v>8023.2848287455345</v>
      </c>
      <c r="J76" s="71">
        <f t="shared" ref="J76:AF76" si="46">J77+J78+J79+J80</f>
        <v>76.144000000000005</v>
      </c>
      <c r="K76" s="71">
        <f t="shared" si="46"/>
        <v>0</v>
      </c>
      <c r="L76" s="71">
        <f t="shared" si="46"/>
        <v>5000</v>
      </c>
      <c r="M76" s="71">
        <f t="shared" si="46"/>
        <v>0</v>
      </c>
      <c r="N76" s="71">
        <f t="shared" si="46"/>
        <v>1038.191</v>
      </c>
      <c r="O76" s="71">
        <f>O77+O78+O79+O80</f>
        <v>6109.25</v>
      </c>
      <c r="P76" s="71">
        <f t="shared" si="46"/>
        <v>0</v>
      </c>
      <c r="Q76" s="71">
        <f t="shared" si="46"/>
        <v>0</v>
      </c>
      <c r="R76" s="71">
        <f t="shared" si="46"/>
        <v>0</v>
      </c>
      <c r="S76" s="71">
        <f t="shared" si="46"/>
        <v>0</v>
      </c>
      <c r="T76" s="71">
        <f t="shared" si="46"/>
        <v>0</v>
      </c>
      <c r="U76" s="71">
        <f t="shared" si="46"/>
        <v>0</v>
      </c>
      <c r="V76" s="71">
        <f t="shared" si="46"/>
        <v>0</v>
      </c>
      <c r="W76" s="71">
        <f t="shared" si="46"/>
        <v>0</v>
      </c>
      <c r="X76" s="71">
        <f t="shared" si="46"/>
        <v>109.71</v>
      </c>
      <c r="Y76" s="71">
        <f t="shared" si="46"/>
        <v>0</v>
      </c>
      <c r="Z76" s="71">
        <f t="shared" si="46"/>
        <v>0</v>
      </c>
      <c r="AA76" s="71">
        <f t="shared" si="46"/>
        <v>0</v>
      </c>
      <c r="AB76" s="71">
        <f t="shared" si="46"/>
        <v>38.256</v>
      </c>
      <c r="AC76" s="71">
        <f t="shared" si="46"/>
        <v>0</v>
      </c>
      <c r="AD76" s="71">
        <f t="shared" si="46"/>
        <v>0</v>
      </c>
      <c r="AE76" s="71">
        <f t="shared" si="46"/>
        <v>0</v>
      </c>
      <c r="AF76" s="71">
        <f t="shared" si="46"/>
        <v>0</v>
      </c>
      <c r="AG76" s="71">
        <f>AG77+AG78+AG79+AG80</f>
        <v>0</v>
      </c>
      <c r="AH76" s="60"/>
      <c r="AI76" s="20"/>
    </row>
    <row r="77" spans="1:35" s="22" customFormat="1" ht="28.5" hidden="1" customHeight="1" x14ac:dyDescent="0.25">
      <c r="A77" s="380"/>
      <c r="B77" s="368"/>
      <c r="C77" s="124" t="s">
        <v>52</v>
      </c>
      <c r="D77" s="74">
        <f>SUM(J77,L77,N77,P77,R77,T77,V77,X77,Z77,AB77,AD77,AF77)</f>
        <v>0</v>
      </c>
      <c r="E77" s="74">
        <f>J77</f>
        <v>0</v>
      </c>
      <c r="F77" s="74">
        <f>G77</f>
        <v>0</v>
      </c>
      <c r="G77" s="74">
        <f>SUM(K77,M77,O77,Q77,S77,U77,W77,Y77,AA77,AC77,AE77,AG77)</f>
        <v>0</v>
      </c>
      <c r="H77" s="74">
        <f t="shared" si="13"/>
        <v>0</v>
      </c>
      <c r="I77" s="74">
        <f t="shared" si="14"/>
        <v>0</v>
      </c>
      <c r="J77" s="67">
        <v>0</v>
      </c>
      <c r="K77" s="67">
        <v>0</v>
      </c>
      <c r="L77" s="67">
        <v>0</v>
      </c>
      <c r="M77" s="67">
        <v>0</v>
      </c>
      <c r="N77" s="67">
        <v>0</v>
      </c>
      <c r="O77" s="67">
        <v>0</v>
      </c>
      <c r="P77" s="67">
        <v>0</v>
      </c>
      <c r="Q77" s="67">
        <v>0</v>
      </c>
      <c r="R77" s="67">
        <v>0</v>
      </c>
      <c r="S77" s="67">
        <v>0</v>
      </c>
      <c r="T77" s="67">
        <v>0</v>
      </c>
      <c r="U77" s="67">
        <v>0</v>
      </c>
      <c r="V77" s="67">
        <v>0</v>
      </c>
      <c r="W77" s="67">
        <v>0</v>
      </c>
      <c r="X77" s="67">
        <v>0</v>
      </c>
      <c r="Y77" s="67">
        <v>0</v>
      </c>
      <c r="Z77" s="67">
        <v>0</v>
      </c>
      <c r="AA77" s="67">
        <v>0</v>
      </c>
      <c r="AB77" s="67">
        <v>0</v>
      </c>
      <c r="AC77" s="67">
        <v>0</v>
      </c>
      <c r="AD77" s="67">
        <v>0</v>
      </c>
      <c r="AE77" s="67">
        <v>0</v>
      </c>
      <c r="AF77" s="67">
        <v>0</v>
      </c>
      <c r="AG77" s="67">
        <v>0</v>
      </c>
      <c r="AH77" s="64"/>
      <c r="AI77" s="20"/>
    </row>
    <row r="78" spans="1:35" s="22" customFormat="1" ht="28.5" hidden="1" customHeight="1" x14ac:dyDescent="0.25">
      <c r="A78" s="380"/>
      <c r="B78" s="368"/>
      <c r="C78" s="124" t="s">
        <v>22</v>
      </c>
      <c r="D78" s="74">
        <f>SUM(J78,L78,N78,P78,R78,T78,V78,X78,Z78,AB78,AD78,AF78)</f>
        <v>0</v>
      </c>
      <c r="E78" s="74">
        <f>J78</f>
        <v>0</v>
      </c>
      <c r="F78" s="74">
        <f>G78</f>
        <v>0</v>
      </c>
      <c r="G78" s="74">
        <f>SUM(K78,M78,O78,Q78,S78,U78,W78,Y78,AA78,AC78,AE78,AG78)</f>
        <v>0</v>
      </c>
      <c r="H78" s="74">
        <f t="shared" ref="H78" si="47">IFERROR(G78/D78*100,0)</f>
        <v>0</v>
      </c>
      <c r="I78" s="74">
        <f t="shared" ref="I78" si="48">IFERROR(G78/E78*100,0)</f>
        <v>0</v>
      </c>
      <c r="J78" s="67">
        <v>0</v>
      </c>
      <c r="K78" s="67">
        <v>0</v>
      </c>
      <c r="L78" s="67">
        <v>0</v>
      </c>
      <c r="M78" s="67">
        <v>0</v>
      </c>
      <c r="N78" s="67">
        <v>0</v>
      </c>
      <c r="O78" s="67">
        <v>0</v>
      </c>
      <c r="P78" s="67">
        <v>0</v>
      </c>
      <c r="Q78" s="67">
        <v>0</v>
      </c>
      <c r="R78" s="67">
        <v>0</v>
      </c>
      <c r="S78" s="67">
        <v>0</v>
      </c>
      <c r="T78" s="67">
        <v>0</v>
      </c>
      <c r="U78" s="67">
        <v>0</v>
      </c>
      <c r="V78" s="67">
        <v>0</v>
      </c>
      <c r="W78" s="67">
        <v>0</v>
      </c>
      <c r="X78" s="67">
        <v>0</v>
      </c>
      <c r="Y78" s="67">
        <v>0</v>
      </c>
      <c r="Z78" s="67">
        <v>0</v>
      </c>
      <c r="AA78" s="67">
        <v>0</v>
      </c>
      <c r="AB78" s="67">
        <v>0</v>
      </c>
      <c r="AC78" s="67">
        <v>0</v>
      </c>
      <c r="AD78" s="67">
        <v>0</v>
      </c>
      <c r="AE78" s="67">
        <v>0</v>
      </c>
      <c r="AF78" s="67">
        <v>0</v>
      </c>
      <c r="AG78" s="67">
        <v>0</v>
      </c>
      <c r="AH78" s="64"/>
      <c r="AI78" s="20"/>
    </row>
    <row r="79" spans="1:35" s="26" customFormat="1" ht="75" customHeight="1" x14ac:dyDescent="0.25">
      <c r="A79" s="380"/>
      <c r="B79" s="368"/>
      <c r="C79" s="124" t="s">
        <v>21</v>
      </c>
      <c r="D79" s="74">
        <f>SUM(J79,L79,N79,P79,R79,T79,V79,X79,Z79,AB79,AD79,AF79)</f>
        <v>6262.3010000000004</v>
      </c>
      <c r="E79" s="74">
        <f>J79</f>
        <v>76.144000000000005</v>
      </c>
      <c r="F79" s="74">
        <f>G79</f>
        <v>6109.25</v>
      </c>
      <c r="G79" s="74">
        <f>SUM(K79,M79,O79,Q79,S79,U79,W79,Y79,AA79,AC79,AE79,AG79)</f>
        <v>6109.25</v>
      </c>
      <c r="H79" s="74">
        <f>IFERROR(G79/D79*100,0)</f>
        <v>97.555994194466209</v>
      </c>
      <c r="I79" s="74">
        <f>IFERROR(G79/E79*100,0)</f>
        <v>8023.2848287455345</v>
      </c>
      <c r="J79" s="67">
        <v>76.144000000000005</v>
      </c>
      <c r="K79" s="67">
        <v>0</v>
      </c>
      <c r="L79" s="67">
        <v>5000</v>
      </c>
      <c r="M79" s="67">
        <v>0</v>
      </c>
      <c r="N79" s="67">
        <v>1038.191</v>
      </c>
      <c r="O79" s="67">
        <v>6109.25</v>
      </c>
      <c r="P79" s="67">
        <v>0</v>
      </c>
      <c r="Q79" s="67">
        <v>0</v>
      </c>
      <c r="R79" s="67">
        <v>0</v>
      </c>
      <c r="S79" s="67">
        <v>0</v>
      </c>
      <c r="T79" s="67">
        <v>0</v>
      </c>
      <c r="U79" s="67">
        <v>0</v>
      </c>
      <c r="V79" s="67">
        <v>0</v>
      </c>
      <c r="W79" s="67">
        <v>0</v>
      </c>
      <c r="X79" s="67">
        <v>109.71</v>
      </c>
      <c r="Y79" s="67">
        <v>0</v>
      </c>
      <c r="Z79" s="67">
        <v>0</v>
      </c>
      <c r="AA79" s="67">
        <v>0</v>
      </c>
      <c r="AB79" s="67">
        <v>38.256</v>
      </c>
      <c r="AC79" s="67">
        <v>0</v>
      </c>
      <c r="AD79" s="67">
        <v>0</v>
      </c>
      <c r="AE79" s="67">
        <v>0</v>
      </c>
      <c r="AF79" s="67">
        <v>0</v>
      </c>
      <c r="AG79" s="67">
        <v>0</v>
      </c>
      <c r="AH79" s="72"/>
      <c r="AI79" s="24"/>
    </row>
    <row r="80" spans="1:35" s="26" customFormat="1" ht="37.5" hidden="1" customHeight="1" x14ac:dyDescent="0.25">
      <c r="A80" s="374"/>
      <c r="B80" s="368"/>
      <c r="C80" s="124" t="s">
        <v>114</v>
      </c>
      <c r="D80" s="74">
        <f>SUM(J80,L80,N80,P80,R80,T80,V80,X80,Z80,AB80,AD80,AF80)</f>
        <v>0</v>
      </c>
      <c r="E80" s="74">
        <f>J80</f>
        <v>0</v>
      </c>
      <c r="F80" s="74">
        <f>G80</f>
        <v>0</v>
      </c>
      <c r="G80" s="74">
        <f>SUM(K80,M80,O80,Q80,S80,U80,W80,Y80,AA80,AC80,AE80,AG80)</f>
        <v>0</v>
      </c>
      <c r="H80" s="74">
        <f t="shared" ref="H80" si="49">IFERROR(G80/D80*100,0)</f>
        <v>0</v>
      </c>
      <c r="I80" s="74">
        <f t="shared" ref="I80" si="50">IFERROR(G80/E80*100,0)</f>
        <v>0</v>
      </c>
      <c r="J80" s="67">
        <v>0</v>
      </c>
      <c r="K80" s="67">
        <v>0</v>
      </c>
      <c r="L80" s="67">
        <v>0</v>
      </c>
      <c r="M80" s="67">
        <v>0</v>
      </c>
      <c r="N80" s="67">
        <v>0</v>
      </c>
      <c r="O80" s="67">
        <v>0</v>
      </c>
      <c r="P80" s="67">
        <v>0</v>
      </c>
      <c r="Q80" s="67">
        <v>0</v>
      </c>
      <c r="R80" s="67">
        <v>0</v>
      </c>
      <c r="S80" s="67">
        <v>0</v>
      </c>
      <c r="T80" s="67">
        <v>0</v>
      </c>
      <c r="U80" s="67">
        <v>0</v>
      </c>
      <c r="V80" s="67">
        <v>0</v>
      </c>
      <c r="W80" s="67">
        <v>0</v>
      </c>
      <c r="X80" s="67">
        <v>0</v>
      </c>
      <c r="Y80" s="67">
        <v>0</v>
      </c>
      <c r="Z80" s="67">
        <v>0</v>
      </c>
      <c r="AA80" s="67">
        <v>0</v>
      </c>
      <c r="AB80" s="67">
        <v>0</v>
      </c>
      <c r="AC80" s="67">
        <v>0</v>
      </c>
      <c r="AD80" s="67">
        <v>0</v>
      </c>
      <c r="AE80" s="67">
        <v>0</v>
      </c>
      <c r="AF80" s="67">
        <v>0</v>
      </c>
      <c r="AG80" s="67">
        <v>0</v>
      </c>
      <c r="AH80" s="72"/>
      <c r="AI80" s="24"/>
    </row>
    <row r="81" spans="1:35" s="18" customFormat="1" ht="18.75" customHeight="1" x14ac:dyDescent="0.25">
      <c r="A81" s="159" t="s">
        <v>291</v>
      </c>
      <c r="B81" s="426" t="s">
        <v>292</v>
      </c>
      <c r="C81" s="427"/>
      <c r="D81" s="427"/>
      <c r="E81" s="427"/>
      <c r="F81" s="427"/>
      <c r="G81" s="427"/>
      <c r="H81" s="427"/>
      <c r="I81" s="427"/>
      <c r="J81" s="427"/>
      <c r="K81" s="427"/>
      <c r="L81" s="427"/>
      <c r="M81" s="427"/>
      <c r="N81" s="427"/>
      <c r="O81" s="427"/>
      <c r="P81" s="427"/>
      <c r="Q81" s="427"/>
      <c r="R81" s="427"/>
      <c r="S81" s="427"/>
      <c r="T81" s="427"/>
      <c r="U81" s="427"/>
      <c r="V81" s="427"/>
      <c r="W81" s="427"/>
      <c r="X81" s="427"/>
      <c r="Y81" s="427"/>
      <c r="Z81" s="427"/>
      <c r="AA81" s="427"/>
      <c r="AB81" s="427"/>
      <c r="AC81" s="427"/>
      <c r="AD81" s="427"/>
      <c r="AE81" s="427"/>
      <c r="AF81" s="427"/>
      <c r="AG81" s="428"/>
      <c r="AH81" s="46"/>
    </row>
    <row r="82" spans="1:35" s="22" customFormat="1" ht="51.75" customHeight="1" x14ac:dyDescent="0.25">
      <c r="A82" s="379" t="s">
        <v>293</v>
      </c>
      <c r="B82" s="367" t="s">
        <v>294</v>
      </c>
      <c r="C82" s="123" t="s">
        <v>20</v>
      </c>
      <c r="D82" s="70">
        <f>D83+D84+D85</f>
        <v>7648.9</v>
      </c>
      <c r="E82" s="70">
        <f t="shared" ref="E82:G82" si="51">E83+E84+E85</f>
        <v>1103.6410000000001</v>
      </c>
      <c r="F82" s="70">
        <f t="shared" si="51"/>
        <v>2298.645</v>
      </c>
      <c r="G82" s="70">
        <f t="shared" si="51"/>
        <v>2298.645</v>
      </c>
      <c r="H82" s="70">
        <f t="shared" ref="H82:H83" si="52">IFERROR(G82/D82*100,0)</f>
        <v>30.05196825687354</v>
      </c>
      <c r="I82" s="70">
        <f t="shared" ref="I82:I83" si="53">IFERROR(G82/E82*100,0)</f>
        <v>208.27832601362215</v>
      </c>
      <c r="J82" s="71">
        <f t="shared" ref="J82:AF82" si="54">J83+J84+J85</f>
        <v>1103.6410000000001</v>
      </c>
      <c r="K82" s="71">
        <f t="shared" si="54"/>
        <v>575.30499999999995</v>
      </c>
      <c r="L82" s="71">
        <f t="shared" si="54"/>
        <v>651.58299999999997</v>
      </c>
      <c r="M82" s="71">
        <f t="shared" si="54"/>
        <v>791.59</v>
      </c>
      <c r="N82" s="71">
        <f t="shared" si="54"/>
        <v>433.56299999999999</v>
      </c>
      <c r="O82" s="71">
        <f t="shared" si="54"/>
        <v>495.31</v>
      </c>
      <c r="P82" s="71">
        <f t="shared" si="54"/>
        <v>791.428</v>
      </c>
      <c r="Q82" s="71">
        <f t="shared" si="54"/>
        <v>436.44</v>
      </c>
      <c r="R82" s="71">
        <f t="shared" si="54"/>
        <v>592.79899999999998</v>
      </c>
      <c r="S82" s="71">
        <f t="shared" si="54"/>
        <v>0</v>
      </c>
      <c r="T82" s="71">
        <f t="shared" si="54"/>
        <v>433.55900000000003</v>
      </c>
      <c r="U82" s="71">
        <f t="shared" si="54"/>
        <v>0</v>
      </c>
      <c r="V82" s="71">
        <f t="shared" si="54"/>
        <v>791.428</v>
      </c>
      <c r="W82" s="71">
        <f t="shared" si="54"/>
        <v>0</v>
      </c>
      <c r="X82" s="71">
        <f t="shared" si="54"/>
        <v>735.08299999999997</v>
      </c>
      <c r="Y82" s="71">
        <f t="shared" si="54"/>
        <v>0</v>
      </c>
      <c r="Z82" s="71">
        <f t="shared" si="54"/>
        <v>476.529</v>
      </c>
      <c r="AA82" s="71">
        <f t="shared" si="54"/>
        <v>0</v>
      </c>
      <c r="AB82" s="71">
        <f t="shared" si="54"/>
        <v>557.95899999999995</v>
      </c>
      <c r="AC82" s="71">
        <f t="shared" si="54"/>
        <v>0</v>
      </c>
      <c r="AD82" s="71">
        <f t="shared" si="54"/>
        <v>506.85899999999998</v>
      </c>
      <c r="AE82" s="71">
        <f t="shared" si="54"/>
        <v>0</v>
      </c>
      <c r="AF82" s="71">
        <f t="shared" si="54"/>
        <v>574.46900000000005</v>
      </c>
      <c r="AG82" s="71">
        <f>AG83+AG84+AG85</f>
        <v>0</v>
      </c>
      <c r="AH82" s="60"/>
      <c r="AI82" s="20"/>
    </row>
    <row r="83" spans="1:35" s="22" customFormat="1" ht="28.5" hidden="1" customHeight="1" x14ac:dyDescent="0.25">
      <c r="A83" s="380"/>
      <c r="B83" s="368"/>
      <c r="C83" s="124" t="s">
        <v>52</v>
      </c>
      <c r="D83" s="74">
        <f>SUM(J83,L83,N83,P83,R83,T83,V83,X83,Z83,AB83,AD83,AF83)</f>
        <v>0</v>
      </c>
      <c r="E83" s="74">
        <f>J83</f>
        <v>0</v>
      </c>
      <c r="F83" s="74">
        <f>G83</f>
        <v>0</v>
      </c>
      <c r="G83" s="74">
        <f>SUM(K83,M83,O83,Q83,S83,U83,W83,Y83,AA83,AC83,AE83,AG83)</f>
        <v>0</v>
      </c>
      <c r="H83" s="74">
        <f t="shared" si="52"/>
        <v>0</v>
      </c>
      <c r="I83" s="74">
        <f t="shared" si="53"/>
        <v>0</v>
      </c>
      <c r="J83" s="71">
        <v>0</v>
      </c>
      <c r="K83" s="71">
        <v>0</v>
      </c>
      <c r="L83" s="71">
        <v>0</v>
      </c>
      <c r="M83" s="71">
        <v>0</v>
      </c>
      <c r="N83" s="71">
        <v>0</v>
      </c>
      <c r="O83" s="71">
        <v>0</v>
      </c>
      <c r="P83" s="71">
        <v>0</v>
      </c>
      <c r="Q83" s="71">
        <v>0</v>
      </c>
      <c r="R83" s="71">
        <v>0</v>
      </c>
      <c r="S83" s="71">
        <v>0</v>
      </c>
      <c r="T83" s="71">
        <v>0</v>
      </c>
      <c r="U83" s="71">
        <v>0</v>
      </c>
      <c r="V83" s="71">
        <v>0</v>
      </c>
      <c r="W83" s="71">
        <v>0</v>
      </c>
      <c r="X83" s="71">
        <v>0</v>
      </c>
      <c r="Y83" s="71">
        <v>0</v>
      </c>
      <c r="Z83" s="71">
        <v>0</v>
      </c>
      <c r="AA83" s="71">
        <v>0</v>
      </c>
      <c r="AB83" s="71">
        <v>0</v>
      </c>
      <c r="AC83" s="71">
        <v>0</v>
      </c>
      <c r="AD83" s="71">
        <v>0</v>
      </c>
      <c r="AE83" s="71">
        <v>0</v>
      </c>
      <c r="AF83" s="71">
        <v>0</v>
      </c>
      <c r="AG83" s="71">
        <v>0</v>
      </c>
      <c r="AH83" s="60"/>
      <c r="AI83" s="20"/>
    </row>
    <row r="84" spans="1:35" s="26" customFormat="1" ht="59.25" hidden="1" customHeight="1" x14ac:dyDescent="0.25">
      <c r="A84" s="380"/>
      <c r="B84" s="368"/>
      <c r="C84" s="124" t="s">
        <v>22</v>
      </c>
      <c r="D84" s="74">
        <f>SUM(J84,L84,N84,P84,R84,T84,V84,X84,Z84,AB84,AD84,AF84)</f>
        <v>0</v>
      </c>
      <c r="E84" s="74">
        <f>J84</f>
        <v>0</v>
      </c>
      <c r="F84" s="74">
        <f>G84</f>
        <v>0</v>
      </c>
      <c r="G84" s="74">
        <f>SUM(K84,M84,O84,Q84,S84,U84,W84,Y84,AA84,AC84,AE84,AG84)</f>
        <v>0</v>
      </c>
      <c r="H84" s="74">
        <f>IFERROR(G84/D84*100,0)</f>
        <v>0</v>
      </c>
      <c r="I84" s="74">
        <f>IFERROR(G84/E84*100,0)</f>
        <v>0</v>
      </c>
      <c r="J84" s="67">
        <v>0</v>
      </c>
      <c r="K84" s="67">
        <v>0</v>
      </c>
      <c r="L84" s="67">
        <v>0</v>
      </c>
      <c r="M84" s="67">
        <v>0</v>
      </c>
      <c r="N84" s="67">
        <v>0</v>
      </c>
      <c r="O84" s="67">
        <v>0</v>
      </c>
      <c r="P84" s="67">
        <v>0</v>
      </c>
      <c r="Q84" s="67">
        <v>0</v>
      </c>
      <c r="R84" s="67">
        <v>0</v>
      </c>
      <c r="S84" s="67">
        <v>0</v>
      </c>
      <c r="T84" s="67">
        <v>0</v>
      </c>
      <c r="U84" s="67">
        <v>0</v>
      </c>
      <c r="V84" s="67">
        <v>0</v>
      </c>
      <c r="W84" s="67">
        <v>0</v>
      </c>
      <c r="X84" s="67">
        <v>0</v>
      </c>
      <c r="Y84" s="67">
        <v>0</v>
      </c>
      <c r="Z84" s="67">
        <v>0</v>
      </c>
      <c r="AA84" s="67">
        <v>0</v>
      </c>
      <c r="AB84" s="67">
        <v>0</v>
      </c>
      <c r="AC84" s="67">
        <v>0</v>
      </c>
      <c r="AD84" s="67">
        <v>0</v>
      </c>
      <c r="AE84" s="67">
        <v>0</v>
      </c>
      <c r="AF84" s="67">
        <v>0</v>
      </c>
      <c r="AG84" s="67">
        <v>0</v>
      </c>
      <c r="AH84" s="72"/>
      <c r="AI84" s="24"/>
    </row>
    <row r="85" spans="1:35" s="26" customFormat="1" ht="127.5" customHeight="1" x14ac:dyDescent="0.25">
      <c r="A85" s="375"/>
      <c r="B85" s="369"/>
      <c r="C85" s="124" t="s">
        <v>21</v>
      </c>
      <c r="D85" s="74">
        <f>SUM(J85,L85,N85,P85,R85,T85,V85,X85,Z85,AB85,AD85,AF85)</f>
        <v>7648.9</v>
      </c>
      <c r="E85" s="74">
        <f>J85</f>
        <v>1103.6410000000001</v>
      </c>
      <c r="F85" s="74">
        <f>G85</f>
        <v>2298.645</v>
      </c>
      <c r="G85" s="74">
        <f>SUM(K85,M85,O85,Q85,S85,U85,W85,Y85,AA85,AC85,AE85,AG85)</f>
        <v>2298.645</v>
      </c>
      <c r="H85" s="74">
        <f>IFERROR(G85/D85*100,0)</f>
        <v>30.05196825687354</v>
      </c>
      <c r="I85" s="74">
        <f>IFERROR(G85/E85*100,0)</f>
        <v>208.27832601362215</v>
      </c>
      <c r="J85" s="67">
        <v>1103.6410000000001</v>
      </c>
      <c r="K85" s="67">
        <v>575.30499999999995</v>
      </c>
      <c r="L85" s="67">
        <v>651.58299999999997</v>
      </c>
      <c r="M85" s="67">
        <v>791.59</v>
      </c>
      <c r="N85" s="67">
        <v>433.56299999999999</v>
      </c>
      <c r="O85" s="67">
        <v>495.31</v>
      </c>
      <c r="P85" s="67">
        <v>791.428</v>
      </c>
      <c r="Q85" s="67">
        <v>436.44</v>
      </c>
      <c r="R85" s="67">
        <v>592.79899999999998</v>
      </c>
      <c r="S85" s="67">
        <v>0</v>
      </c>
      <c r="T85" s="67">
        <v>433.55900000000003</v>
      </c>
      <c r="U85" s="67">
        <v>0</v>
      </c>
      <c r="V85" s="67">
        <v>791.428</v>
      </c>
      <c r="W85" s="67">
        <v>0</v>
      </c>
      <c r="X85" s="67">
        <v>735.08299999999997</v>
      </c>
      <c r="Y85" s="67">
        <v>0</v>
      </c>
      <c r="Z85" s="67">
        <v>476.529</v>
      </c>
      <c r="AA85" s="67">
        <v>0</v>
      </c>
      <c r="AB85" s="67">
        <v>557.95899999999995</v>
      </c>
      <c r="AC85" s="67">
        <v>0</v>
      </c>
      <c r="AD85" s="67">
        <v>506.85899999999998</v>
      </c>
      <c r="AE85" s="67">
        <v>0</v>
      </c>
      <c r="AF85" s="67">
        <v>574.46900000000005</v>
      </c>
      <c r="AG85" s="67">
        <v>0</v>
      </c>
      <c r="AH85" s="72"/>
      <c r="AI85" s="24"/>
    </row>
    <row r="86" spans="1:35" ht="94.5" customHeight="1" x14ac:dyDescent="0.25"/>
  </sheetData>
  <customSheetViews>
    <customSheetView guid="{2940A182-D1A7-43C5-8D6E-965BED4371B0}" scale="70" hiddenRows="1" state="hidden">
      <pane xSplit="6" ySplit="7" topLeftCell="G59" activePane="bottomRight" state="frozen"/>
      <selection pane="bottomRight" activeCell="I70" sqref="I70"/>
      <pageMargins left="0.7" right="0.7" top="0.75" bottom="0.75" header="0.3" footer="0.3"/>
      <pageSetup paperSize="9" orientation="portrait" r:id="rId1"/>
    </customSheetView>
    <customSheetView guid="{BBF6B43F-E0FC-43DF-B91C-674F6AB4B556}" scale="70" hiddenRows="1">
      <pane xSplit="6" ySplit="7" topLeftCell="G8" activePane="bottomRight" state="frozen"/>
      <selection pane="bottomRight" activeCell="V3" sqref="V3"/>
      <pageMargins left="0.7" right="0.7" top="0.75" bottom="0.75" header="0.3" footer="0.3"/>
      <pageSetup paperSize="9" orientation="portrait" r:id="rId2"/>
    </customSheetView>
    <customSheetView guid="{30B635D9-57DB-47D5-8A0F-4B30DD769960}" scale="70" hiddenRows="1">
      <pane xSplit="6" ySplit="7" topLeftCell="G8" activePane="bottomRight" state="frozen"/>
      <selection pane="bottomRight" activeCell="V3" sqref="V3"/>
      <pageMargins left="0.7" right="0.7" top="0.75" bottom="0.75" header="0.3" footer="0.3"/>
      <pageSetup paperSize="9" orientation="portrait" r:id="rId3"/>
    </customSheetView>
    <customSheetView guid="{DAEDC989-02E7-4319-8354-59410ACF3F1F}" scale="70" hiddenRows="1">
      <pane xSplit="6" ySplit="7" topLeftCell="G8" activePane="bottomRight" state="frozen"/>
      <selection pane="bottomRight" activeCell="I70" sqref="I70"/>
      <pageMargins left="0.7" right="0.7" top="0.75" bottom="0.75" header="0.3" footer="0.3"/>
      <pageSetup paperSize="9" orientation="portrait" r:id="rId4"/>
    </customSheetView>
    <customSheetView guid="{21E1D423-7B38-4272-8354-09B4DB62C9EB}" scale="70" hiddenRows="1">
      <pane xSplit="6" ySplit="7" topLeftCell="G59" activePane="bottomRight" state="frozen"/>
      <selection pane="bottomRight" activeCell="I70" sqref="I70"/>
      <pageMargins left="0.7" right="0.7" top="0.75" bottom="0.75" header="0.3" footer="0.3"/>
      <pageSetup paperSize="9" orientation="portrait" r:id="rId5"/>
    </customSheetView>
    <customSheetView guid="{EA46B61D-849C-4795-A4FF-F8F1740022EB}" scale="70" hiddenRows="1">
      <pane xSplit="6" ySplit="7" topLeftCell="G8" activePane="bottomRight" state="frozen"/>
      <selection pane="bottomRight" activeCell="I70" sqref="I70"/>
      <pageMargins left="0.7" right="0.7" top="0.75" bottom="0.75" header="0.3" footer="0.3"/>
      <pageSetup paperSize="9" orientation="portrait" r:id="rId6"/>
    </customSheetView>
    <customSheetView guid="{A0E2FBF6-E560-4343-8BE6-217DC798135B}" scale="70" hiddenRows="1">
      <pane xSplit="6" ySplit="7" topLeftCell="G8" activePane="bottomRight" state="frozen"/>
      <selection pane="bottomRight" activeCell="I70" sqref="I70"/>
      <pageMargins left="0.7" right="0.7" top="0.75" bottom="0.75" header="0.3" footer="0.3"/>
      <pageSetup paperSize="9" orientation="portrait" r:id="rId7"/>
    </customSheetView>
    <customSheetView guid="{20A05A62-CBE8-4538-BBC3-2AD9D3B8FAC0}" scale="70" hiddenRows="1">
      <pane xSplit="6" ySplit="7" topLeftCell="G8" activePane="bottomRight" state="frozen"/>
      <selection pane="bottomRight" activeCell="I70" sqref="I70"/>
      <pageMargins left="0.7" right="0.7" top="0.75" bottom="0.75" header="0.3" footer="0.3"/>
      <pageSetup paperSize="9" orientation="portrait" r:id="rId8"/>
    </customSheetView>
    <customSheetView guid="{A4AF2100-C59D-4F60-9EAB-56D9103463F7}" scale="70" hiddenRows="1">
      <pane xSplit="6" ySplit="7" topLeftCell="G8" activePane="bottomRight" state="frozen"/>
      <selection pane="bottomRight" activeCell="I70" sqref="I70"/>
      <pageMargins left="0.7" right="0.7" top="0.75" bottom="0.75" header="0.3" footer="0.3"/>
      <pageSetup paperSize="9" orientation="portrait" r:id="rId9"/>
    </customSheetView>
    <customSheetView guid="{AB9978E4-895D-4050-8F07-2484E22632D1}" scale="70" hiddenRows="1">
      <pane xSplit="6" ySplit="7" topLeftCell="O8" activePane="bottomRight" state="frozen"/>
      <selection pane="bottomRight" activeCell="C18" sqref="C18"/>
      <pageMargins left="0.7" right="0.7" top="0.75" bottom="0.75" header="0.3" footer="0.3"/>
      <pageSetup paperSize="9" orientation="portrait" r:id="rId10"/>
    </customSheetView>
    <customSheetView guid="{519948E4-0B24-465F-9D9E-44BE50D1D647}" scale="70" hiddenRows="1">
      <pane xSplit="6" ySplit="7" topLeftCell="G59" activePane="bottomRight" state="frozen"/>
      <selection pane="bottomRight" activeCell="I70" sqref="I70"/>
      <pageMargins left="0.7" right="0.7" top="0.75" bottom="0.75" header="0.3" footer="0.3"/>
      <pageSetup paperSize="9" orientation="portrait" r:id="rId11"/>
    </customSheetView>
    <customSheetView guid="{C7DC638A-7F60-46C9-A1FB-9ADEAE87F332}" scale="70" hiddenRows="1">
      <pane xSplit="6" ySplit="7" topLeftCell="G59" activePane="bottomRight" state="frozen"/>
      <selection pane="bottomRight" activeCell="I70" sqref="I70"/>
      <pageMargins left="0.7" right="0.7" top="0.75" bottom="0.75" header="0.3" footer="0.3"/>
      <pageSetup paperSize="9" orientation="portrait" r:id="rId12"/>
    </customSheetView>
    <customSheetView guid="{2A5A11D4-90C6-4A3E-8165-7D7BD634B22F}" scale="70" hiddenRows="1">
      <pane xSplit="6" ySplit="7" topLeftCell="G8" activePane="bottomRight" state="frozen"/>
      <selection pane="bottomRight" activeCell="I70" sqref="I70"/>
      <pageMargins left="0.7" right="0.7" top="0.75" bottom="0.75" header="0.3" footer="0.3"/>
      <pageSetup paperSize="9" orientation="portrait" r:id="rId13"/>
    </customSheetView>
    <customSheetView guid="{562453CE-35F5-40A3-AD14-6399D1197C99}" scale="70" hiddenRows="1">
      <pane xSplit="6" ySplit="7" topLeftCell="G8" activePane="bottomRight" state="frozen"/>
      <selection pane="bottomRight" activeCell="I70" sqref="I70"/>
      <pageMargins left="0.7" right="0.7" top="0.75" bottom="0.75" header="0.3" footer="0.3"/>
      <pageSetup paperSize="9" orientation="portrait" r:id="rId14"/>
    </customSheetView>
    <customSheetView guid="{B6B60ED6-A6CC-4DA7-A8CA-5E6DB52D5A87}" scale="70" hiddenRows="1">
      <pane xSplit="6" ySplit="7" topLeftCell="G24" activePane="bottomRight" state="frozen"/>
      <selection pane="bottomRight" activeCell="N87" sqref="N87"/>
      <pageMargins left="0.7" right="0.7" top="0.75" bottom="0.75" header="0.3" footer="0.3"/>
      <pageSetup paperSize="9" orientation="portrait" r:id="rId15"/>
    </customSheetView>
    <customSheetView guid="{133BB3F8-8DD4-4AEF-8CD6-A5FB14681329}" scale="70" hiddenRows="1">
      <pane xSplit="6" ySplit="7" topLeftCell="G8" activePane="bottomRight" state="frozen"/>
      <selection pane="bottomRight" activeCell="I70" sqref="I70"/>
      <pageMargins left="0.7" right="0.7" top="0.75" bottom="0.75" header="0.3" footer="0.3"/>
      <pageSetup paperSize="9" orientation="portrait" r:id="rId16"/>
    </customSheetView>
    <customSheetView guid="{5DF2C78B-5EE4-439D-8D72-8D3A913B65F9}" scale="70" hiddenRows="1">
      <pane xSplit="6" ySplit="7" topLeftCell="G59" activePane="bottomRight" state="frozen"/>
      <selection pane="bottomRight" activeCell="I70" sqref="I70"/>
      <pageMargins left="0.7" right="0.7" top="0.75" bottom="0.75" header="0.3" footer="0.3"/>
      <pageSetup paperSize="9" orientation="portrait" r:id="rId17"/>
    </customSheetView>
    <customSheetView guid="{60A1F930-4BEC-460A-8E14-01E47F6DD055}" scale="70" hiddenRows="1">
      <pane xSplit="6" ySplit="7" topLeftCell="G17" activePane="bottomRight" state="frozen"/>
      <selection pane="bottomRight" activeCell="I70" sqref="I70"/>
      <pageMargins left="0.7" right="0.7" top="0.75" bottom="0.75" header="0.3" footer="0.3"/>
      <pageSetup paperSize="9" orientation="portrait" r:id="rId18"/>
    </customSheetView>
    <customSheetView guid="{7C5A2A36-3D69-43D9-9018-A52C27EC78F9}" scale="70" hiddenRows="1">
      <pane xSplit="6" ySplit="7" topLeftCell="G59" activePane="bottomRight" state="frozen"/>
      <selection pane="bottomRight" activeCell="I70" sqref="I70"/>
      <pageMargins left="0.7" right="0.7" top="0.75" bottom="0.75" header="0.3" footer="0.3"/>
      <pageSetup paperSize="9" orientation="portrait" r:id="rId19"/>
    </customSheetView>
    <customSheetView guid="{C282AA4E-1BB5-4296-9AC6-844C0F88E5FC}" scale="70" hiddenRows="1">
      <pane xSplit="6" ySplit="7" topLeftCell="G59" activePane="bottomRight" state="frozen"/>
      <selection pane="bottomRight" activeCell="I70" sqref="I70"/>
      <pageMargins left="0.7" right="0.7" top="0.75" bottom="0.75" header="0.3" footer="0.3"/>
      <pageSetup paperSize="9" orientation="portrait" r:id="rId20"/>
    </customSheetView>
    <customSheetView guid="{996EC2F0-F6EC-4E63-A83E-34865157BD8D}" scale="70" hiddenRows="1">
      <pane xSplit="6" ySplit="7" topLeftCell="G8" activePane="bottomRight" state="frozen"/>
      <selection pane="bottomRight" activeCell="I70" sqref="I70"/>
      <pageMargins left="0.7" right="0.7" top="0.75" bottom="0.75" header="0.3" footer="0.3"/>
      <pageSetup paperSize="9" orientation="portrait" r:id="rId21"/>
    </customSheetView>
    <customSheetView guid="{AFADB96A-0516-43C1-9F1B-0604F3CAC04A}" scale="70" hiddenRows="1">
      <pane xSplit="6" ySplit="7" topLeftCell="G8" activePane="bottomRight" state="frozen"/>
      <selection pane="bottomRight" activeCell="I70" sqref="I70"/>
      <pageMargins left="0.7" right="0.7" top="0.75" bottom="0.75" header="0.3" footer="0.3"/>
      <pageSetup paperSize="9" orientation="portrait" r:id="rId22"/>
    </customSheetView>
  </customSheetViews>
  <mergeCells count="57">
    <mergeCell ref="R4:S5"/>
    <mergeCell ref="T4:U5"/>
    <mergeCell ref="C2:S2"/>
    <mergeCell ref="C3:S3"/>
    <mergeCell ref="A4:A6"/>
    <mergeCell ref="B4:B6"/>
    <mergeCell ref="C4:C6"/>
    <mergeCell ref="D4:D5"/>
    <mergeCell ref="E4:E5"/>
    <mergeCell ref="F4:F5"/>
    <mergeCell ref="G4:G5"/>
    <mergeCell ref="H4:I5"/>
    <mergeCell ref="AH4:AH6"/>
    <mergeCell ref="A8:A12"/>
    <mergeCell ref="B8:B12"/>
    <mergeCell ref="B13:AG13"/>
    <mergeCell ref="A14:A18"/>
    <mergeCell ref="B14:B18"/>
    <mergeCell ref="V4:W5"/>
    <mergeCell ref="X4:Y5"/>
    <mergeCell ref="Z4:AA5"/>
    <mergeCell ref="AB4:AC5"/>
    <mergeCell ref="AD4:AE5"/>
    <mergeCell ref="AF4:AG5"/>
    <mergeCell ref="J4:K5"/>
    <mergeCell ref="L4:M5"/>
    <mergeCell ref="N4:O5"/>
    <mergeCell ref="P4:Q5"/>
    <mergeCell ref="A19:A23"/>
    <mergeCell ref="B19:B23"/>
    <mergeCell ref="A24:A28"/>
    <mergeCell ref="B24:B28"/>
    <mergeCell ref="A29:A33"/>
    <mergeCell ref="B29:B33"/>
    <mergeCell ref="A60:A64"/>
    <mergeCell ref="B60:B64"/>
    <mergeCell ref="A34:A38"/>
    <mergeCell ref="B34:B38"/>
    <mergeCell ref="A39:A43"/>
    <mergeCell ref="B39:B43"/>
    <mergeCell ref="A44:A48"/>
    <mergeCell ref="B44:B48"/>
    <mergeCell ref="A49:A53"/>
    <mergeCell ref="B49:B53"/>
    <mergeCell ref="A54:A58"/>
    <mergeCell ref="B54:B58"/>
    <mergeCell ref="B59:AG59"/>
    <mergeCell ref="B81:AG81"/>
    <mergeCell ref="A82:A85"/>
    <mergeCell ref="B82:B85"/>
    <mergeCell ref="A65:A69"/>
    <mergeCell ref="B65:B69"/>
    <mergeCell ref="A70:A74"/>
    <mergeCell ref="B70:B74"/>
    <mergeCell ref="B75:AG75"/>
    <mergeCell ref="A76:A80"/>
    <mergeCell ref="B76:B80"/>
  </mergeCells>
  <pageMargins left="0.7" right="0.7" top="0.75" bottom="0.75" header="0.3" footer="0.3"/>
  <pageSetup paperSize="9" orientation="portrait" r:id="rId2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J49"/>
  <sheetViews>
    <sheetView zoomScale="80" zoomScaleNormal="80" workbookViewId="0">
      <pane xSplit="6" ySplit="7" topLeftCell="G8" activePane="bottomRight" state="frozen"/>
      <selection pane="topRight" activeCell="G1" sqref="G1"/>
      <selection pane="bottomLeft" activeCell="A8" sqref="A8"/>
      <selection pane="bottomRight" activeCell="G57" sqref="G57"/>
    </sheetView>
  </sheetViews>
  <sheetFormatPr defaultColWidth="9.140625" defaultRowHeight="15" x14ac:dyDescent="0.25"/>
  <cols>
    <col min="1" max="1" width="6.5703125" style="8" customWidth="1"/>
    <col min="2" max="2" width="34.5703125" style="8" customWidth="1"/>
    <col min="3" max="3" width="20.85546875" style="9" customWidth="1"/>
    <col min="4" max="4" width="18" style="130" customWidth="1"/>
    <col min="5" max="5" width="14.7109375" style="8" customWidth="1"/>
    <col min="6" max="6" width="15" style="8" customWidth="1"/>
    <col min="7" max="7" width="13.85546875" style="8" customWidth="1"/>
    <col min="8" max="8" width="12.140625" style="8" customWidth="1"/>
    <col min="9" max="9" width="10.85546875" style="8" customWidth="1"/>
    <col min="10" max="10" width="14.28515625" style="8" customWidth="1"/>
    <col min="11" max="11" width="13.5703125" style="8" customWidth="1"/>
    <col min="12" max="12" width="15.140625" style="8" customWidth="1"/>
    <col min="13" max="13" width="13" style="8" customWidth="1"/>
    <col min="14" max="14" width="15.28515625" style="8" customWidth="1"/>
    <col min="15" max="15" width="11.5703125" style="8" customWidth="1"/>
    <col min="16" max="16" width="15" style="8" customWidth="1"/>
    <col min="17" max="17" width="11.5703125" style="8" customWidth="1"/>
    <col min="18" max="18" width="14.42578125"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5" style="8" customWidth="1"/>
    <col min="25" max="25" width="11.5703125" style="8" customWidth="1"/>
    <col min="26" max="26" width="16.140625" style="8" customWidth="1"/>
    <col min="27" max="27" width="11.5703125" style="8" customWidth="1"/>
    <col min="28" max="28" width="14.85546875" style="8" customWidth="1"/>
    <col min="29" max="29" width="11.5703125" style="8" customWidth="1"/>
    <col min="30" max="30" width="13.42578125" style="8" customWidth="1"/>
    <col min="31" max="31" width="11.5703125" style="8" customWidth="1"/>
    <col min="32" max="32" width="13.7109375" style="8" customWidth="1"/>
    <col min="33" max="33" width="11.5703125" style="8" customWidth="1"/>
    <col min="34" max="34" width="38.5703125" style="8" customWidth="1"/>
    <col min="35" max="16384" width="9.140625" style="8"/>
  </cols>
  <sheetData>
    <row r="1" spans="1:36" s="10" customFormat="1" ht="23.25" customHeight="1" x14ac:dyDescent="0.25">
      <c r="C1" s="119"/>
      <c r="D1" s="120"/>
      <c r="E1" s="13"/>
      <c r="F1" s="13"/>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6" s="10" customFormat="1" ht="15.75" x14ac:dyDescent="0.25">
      <c r="A2" s="55"/>
      <c r="B2" s="55"/>
      <c r="C2" s="346" t="s">
        <v>24</v>
      </c>
      <c r="D2" s="346"/>
      <c r="E2" s="346"/>
      <c r="F2" s="346"/>
      <c r="G2" s="346"/>
      <c r="H2" s="346"/>
      <c r="I2" s="346"/>
      <c r="J2" s="346"/>
      <c r="K2" s="346"/>
      <c r="L2" s="346"/>
      <c r="M2" s="346"/>
      <c r="N2" s="346"/>
      <c r="O2" s="346"/>
      <c r="P2" s="346"/>
      <c r="Q2" s="346"/>
      <c r="R2" s="346"/>
      <c r="S2" s="346"/>
      <c r="T2" s="35"/>
      <c r="U2" s="35"/>
      <c r="V2" s="35"/>
      <c r="W2" s="35"/>
      <c r="X2" s="35"/>
      <c r="Y2" s="35"/>
      <c r="Z2" s="35"/>
      <c r="AA2" s="35"/>
      <c r="AB2" s="35"/>
      <c r="AC2" s="35"/>
      <c r="AD2" s="35"/>
      <c r="AE2" s="35"/>
      <c r="AF2" s="35"/>
      <c r="AG2" s="35"/>
      <c r="AH2" s="35"/>
    </row>
    <row r="3" spans="1:36" s="10" customFormat="1" ht="27" customHeight="1" x14ac:dyDescent="0.25">
      <c r="A3" s="55"/>
      <c r="B3" s="55"/>
      <c r="C3" s="347" t="s">
        <v>206</v>
      </c>
      <c r="D3" s="347"/>
      <c r="E3" s="347"/>
      <c r="F3" s="347"/>
      <c r="G3" s="347"/>
      <c r="H3" s="347"/>
      <c r="I3" s="347"/>
      <c r="J3" s="347"/>
      <c r="K3" s="347"/>
      <c r="L3" s="347"/>
      <c r="M3" s="347"/>
      <c r="N3" s="347"/>
      <c r="O3" s="347"/>
      <c r="P3" s="347"/>
      <c r="Q3" s="347"/>
      <c r="R3" s="347"/>
      <c r="S3" s="347"/>
      <c r="T3" s="36"/>
      <c r="U3" s="36"/>
      <c r="V3" s="36"/>
      <c r="W3" s="36"/>
      <c r="X3" s="36"/>
      <c r="Y3" s="36"/>
      <c r="Z3" s="36"/>
      <c r="AA3" s="36"/>
      <c r="AB3" s="36"/>
      <c r="AC3" s="36"/>
      <c r="AD3" s="37"/>
      <c r="AE3" s="37"/>
      <c r="AF3" s="37"/>
      <c r="AG3" s="37" t="s">
        <v>0</v>
      </c>
      <c r="AH3" s="37"/>
    </row>
    <row r="4" spans="1:36" s="10" customFormat="1" ht="15" customHeight="1" x14ac:dyDescent="0.25">
      <c r="A4" s="348" t="s">
        <v>26</v>
      </c>
      <c r="B4" s="351" t="s">
        <v>29</v>
      </c>
      <c r="C4" s="354" t="s">
        <v>30</v>
      </c>
      <c r="D4" s="357"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6" s="10" customFormat="1" ht="39" customHeight="1" x14ac:dyDescent="0.25">
      <c r="A5" s="349"/>
      <c r="B5" s="352"/>
      <c r="C5" s="355"/>
      <c r="D5" s="358"/>
      <c r="E5" s="360"/>
      <c r="F5" s="360"/>
      <c r="G5" s="360"/>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6" s="10" customFormat="1" ht="64.5" customHeight="1" x14ac:dyDescent="0.25">
      <c r="A6" s="350"/>
      <c r="B6" s="353"/>
      <c r="C6" s="356"/>
      <c r="D6" s="121">
        <v>2025</v>
      </c>
      <c r="E6" s="39">
        <v>45748</v>
      </c>
      <c r="F6" s="39">
        <v>45748</v>
      </c>
      <c r="G6" s="39">
        <v>45748</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6" s="32" customFormat="1" ht="15.75" x14ac:dyDescent="0.25">
      <c r="A7" s="40">
        <v>1</v>
      </c>
      <c r="B7" s="40">
        <v>2</v>
      </c>
      <c r="C7" s="122">
        <v>3</v>
      </c>
      <c r="D7" s="40">
        <v>4</v>
      </c>
      <c r="E7" s="40">
        <v>5</v>
      </c>
      <c r="F7" s="40">
        <v>6</v>
      </c>
      <c r="G7" s="40">
        <v>7</v>
      </c>
      <c r="H7" s="40">
        <v>8</v>
      </c>
      <c r="I7" s="40">
        <v>9</v>
      </c>
      <c r="J7" s="40">
        <v>10</v>
      </c>
      <c r="K7" s="40">
        <v>11</v>
      </c>
      <c r="L7" s="40">
        <v>12</v>
      </c>
      <c r="M7" s="40">
        <v>13</v>
      </c>
      <c r="N7" s="40">
        <v>14</v>
      </c>
      <c r="O7" s="40">
        <v>15</v>
      </c>
      <c r="P7" s="40">
        <v>16</v>
      </c>
      <c r="Q7" s="40">
        <v>17</v>
      </c>
      <c r="R7" s="40">
        <v>18</v>
      </c>
      <c r="S7" s="40">
        <v>19</v>
      </c>
      <c r="T7" s="40">
        <v>20</v>
      </c>
      <c r="U7" s="40">
        <v>21</v>
      </c>
      <c r="V7" s="40">
        <v>22</v>
      </c>
      <c r="W7" s="40">
        <v>23</v>
      </c>
      <c r="X7" s="40">
        <v>24</v>
      </c>
      <c r="Y7" s="40">
        <v>25</v>
      </c>
      <c r="Z7" s="40">
        <v>26</v>
      </c>
      <c r="AA7" s="40">
        <v>27</v>
      </c>
      <c r="AB7" s="40">
        <v>28</v>
      </c>
      <c r="AC7" s="40">
        <v>29</v>
      </c>
      <c r="AD7" s="40">
        <v>30</v>
      </c>
      <c r="AE7" s="40">
        <v>31</v>
      </c>
      <c r="AF7" s="40">
        <v>32</v>
      </c>
      <c r="AG7" s="40">
        <v>33</v>
      </c>
      <c r="AH7" s="40">
        <v>34</v>
      </c>
    </row>
    <row r="8" spans="1:36" s="25" customFormat="1" ht="31.5" customHeight="1" x14ac:dyDescent="0.25">
      <c r="A8" s="364"/>
      <c r="B8" s="367" t="s">
        <v>23</v>
      </c>
      <c r="C8" s="123" t="s">
        <v>20</v>
      </c>
      <c r="D8" s="70">
        <f>D10+D11</f>
        <v>37627.899700000002</v>
      </c>
      <c r="E8" s="70">
        <f>E10+E11</f>
        <v>2952.8004000000001</v>
      </c>
      <c r="F8" s="70">
        <f>F10+F11</f>
        <v>2557.6523900000002</v>
      </c>
      <c r="G8" s="70">
        <f>G10+G11</f>
        <v>2555.50065</v>
      </c>
      <c r="H8" s="70">
        <f>IFERROR(G8/D8*100,0)</f>
        <v>6.7915048949702603</v>
      </c>
      <c r="I8" s="70">
        <f>IFERROR(G8/E8*100,0)</f>
        <v>86.544984550936803</v>
      </c>
      <c r="J8" s="71">
        <f>J10+J11</f>
        <v>477.93651</v>
      </c>
      <c r="K8" s="71">
        <f t="shared" ref="K8:AG8" si="0">K10+K11</f>
        <v>260.55279000000002</v>
      </c>
      <c r="L8" s="71">
        <f t="shared" si="0"/>
        <v>1294.6184699999999</v>
      </c>
      <c r="M8" s="71">
        <f t="shared" si="0"/>
        <v>1246.4390100000001</v>
      </c>
      <c r="N8" s="71">
        <f t="shared" si="0"/>
        <v>1180.2454200000002</v>
      </c>
      <c r="O8" s="71">
        <f t="shared" si="0"/>
        <v>1048.5088500000002</v>
      </c>
      <c r="P8" s="71">
        <f t="shared" si="0"/>
        <v>1931.7098599999999</v>
      </c>
      <c r="Q8" s="71">
        <f t="shared" si="0"/>
        <v>0</v>
      </c>
      <c r="R8" s="71">
        <f t="shared" si="0"/>
        <v>1245.4373299999997</v>
      </c>
      <c r="S8" s="71">
        <f t="shared" si="0"/>
        <v>0</v>
      </c>
      <c r="T8" s="71">
        <f t="shared" si="0"/>
        <v>10136.74944</v>
      </c>
      <c r="U8" s="71">
        <f t="shared" si="0"/>
        <v>0</v>
      </c>
      <c r="V8" s="71">
        <f t="shared" si="0"/>
        <v>8693.5166700000009</v>
      </c>
      <c r="W8" s="71">
        <f t="shared" si="0"/>
        <v>0</v>
      </c>
      <c r="X8" s="71">
        <f t="shared" si="0"/>
        <v>8398.762200000001</v>
      </c>
      <c r="Y8" s="71">
        <f t="shared" si="0"/>
        <v>0</v>
      </c>
      <c r="Z8" s="71">
        <f t="shared" si="0"/>
        <v>1014.6350200000001</v>
      </c>
      <c r="AA8" s="71">
        <f t="shared" si="0"/>
        <v>0</v>
      </c>
      <c r="AB8" s="71">
        <f t="shared" si="0"/>
        <v>1182.1021599999999</v>
      </c>
      <c r="AC8" s="71">
        <f t="shared" si="0"/>
        <v>0</v>
      </c>
      <c r="AD8" s="71">
        <f t="shared" si="0"/>
        <v>1150.5847199999998</v>
      </c>
      <c r="AE8" s="71">
        <f t="shared" si="0"/>
        <v>0</v>
      </c>
      <c r="AF8" s="71">
        <f t="shared" si="0"/>
        <v>921.6019</v>
      </c>
      <c r="AG8" s="71">
        <f t="shared" si="0"/>
        <v>0</v>
      </c>
      <c r="AH8" s="72"/>
      <c r="AJ8" s="269">
        <f>E8-G8</f>
        <v>397.29975000000013</v>
      </c>
    </row>
    <row r="9" spans="1:36" s="26" customFormat="1" ht="26.25" hidden="1" customHeight="1" x14ac:dyDescent="0.25">
      <c r="A9" s="365"/>
      <c r="B9" s="368"/>
      <c r="C9" s="124" t="s">
        <v>52</v>
      </c>
      <c r="D9" s="74">
        <f>J9+L9+N9+P9+R9+T9+V9+X9+Z9+AB9+AD9+AF9</f>
        <v>0</v>
      </c>
      <c r="E9" s="74">
        <f>J9</f>
        <v>0</v>
      </c>
      <c r="F9" s="74">
        <f>G9</f>
        <v>0</v>
      </c>
      <c r="G9" s="74">
        <f>K9+M9+O9+Q9+S9+U9+W9+Y9+AA9+AC9+AE9+AG9</f>
        <v>0</v>
      </c>
      <c r="H9" s="74">
        <f t="shared" ref="H9" si="1">IFERROR(G9/D9*100,0)</f>
        <v>0</v>
      </c>
      <c r="I9" s="74">
        <f t="shared" ref="I9" si="2">IFERROR(G9/E9*100,0)</f>
        <v>0</v>
      </c>
      <c r="J9" s="74">
        <v>0</v>
      </c>
      <c r="K9" s="74">
        <v>0</v>
      </c>
      <c r="L9" s="74">
        <v>0</v>
      </c>
      <c r="M9" s="74">
        <v>0</v>
      </c>
      <c r="N9" s="74">
        <v>0</v>
      </c>
      <c r="O9" s="74">
        <v>0</v>
      </c>
      <c r="P9" s="74">
        <v>0</v>
      </c>
      <c r="Q9" s="74">
        <v>0</v>
      </c>
      <c r="R9" s="74">
        <v>0</v>
      </c>
      <c r="S9" s="74">
        <v>0</v>
      </c>
      <c r="T9" s="74">
        <v>0</v>
      </c>
      <c r="U9" s="74">
        <v>0</v>
      </c>
      <c r="V9" s="74">
        <v>0</v>
      </c>
      <c r="W9" s="74">
        <v>0</v>
      </c>
      <c r="X9" s="74">
        <v>0</v>
      </c>
      <c r="Y9" s="74">
        <v>0</v>
      </c>
      <c r="Z9" s="74">
        <v>0</v>
      </c>
      <c r="AA9" s="74">
        <v>0</v>
      </c>
      <c r="AB9" s="74">
        <v>0</v>
      </c>
      <c r="AC9" s="74">
        <v>0</v>
      </c>
      <c r="AD9" s="74">
        <v>0</v>
      </c>
      <c r="AE9" s="74">
        <v>0</v>
      </c>
      <c r="AF9" s="74">
        <v>0</v>
      </c>
      <c r="AG9" s="74">
        <v>0</v>
      </c>
      <c r="AH9" s="75"/>
      <c r="AJ9" s="269">
        <f t="shared" ref="AJ9:AJ35" si="3">E9-G9</f>
        <v>0</v>
      </c>
    </row>
    <row r="10" spans="1:36" s="26" customFormat="1" ht="40.5" customHeight="1" x14ac:dyDescent="0.25">
      <c r="A10" s="365"/>
      <c r="B10" s="368"/>
      <c r="C10" s="124" t="s">
        <v>22</v>
      </c>
      <c r="D10" s="74">
        <f>J10+L10+N10+P10+R10+T10+V10+X10+Z10+AB10+AD10+AF10</f>
        <v>12797.799700000001</v>
      </c>
      <c r="E10" s="74">
        <f>E15+E40</f>
        <v>1543.93451</v>
      </c>
      <c r="F10" s="74">
        <f>F15+F40</f>
        <v>1326.9974999999999</v>
      </c>
      <c r="G10" s="74">
        <f>K10+M10+O10+Q10+S10+U10+W10+Y10+AA10+AC10+AE10+AG10</f>
        <v>1326.9959699999999</v>
      </c>
      <c r="H10" s="74">
        <f>IFERROR(G10/D10*100,0)</f>
        <v>10.368938419937919</v>
      </c>
      <c r="I10" s="74">
        <f>IFERROR(G10/E10*100,0)</f>
        <v>85.94898043959131</v>
      </c>
      <c r="J10" s="74">
        <f>J15+J40</f>
        <v>447.93651</v>
      </c>
      <c r="K10" s="74">
        <f t="shared" ref="K10:AG11" si="4">K15+K40</f>
        <v>260.55279000000002</v>
      </c>
      <c r="L10" s="74">
        <f t="shared" si="4"/>
        <v>573.09899999999993</v>
      </c>
      <c r="M10" s="74">
        <f t="shared" si="4"/>
        <v>609.79</v>
      </c>
      <c r="N10" s="74">
        <f t="shared" si="4"/>
        <v>522.899</v>
      </c>
      <c r="O10" s="74">
        <f t="shared" si="4"/>
        <v>456.65318000000002</v>
      </c>
      <c r="P10" s="74">
        <f t="shared" si="4"/>
        <v>689.41098</v>
      </c>
      <c r="Q10" s="74">
        <f t="shared" si="4"/>
        <v>0</v>
      </c>
      <c r="R10" s="74">
        <f t="shared" si="4"/>
        <v>567.0619999999999</v>
      </c>
      <c r="S10" s="74">
        <f t="shared" si="4"/>
        <v>0</v>
      </c>
      <c r="T10" s="74">
        <f t="shared" si="4"/>
        <v>2837.5590000000002</v>
      </c>
      <c r="U10" s="74">
        <f t="shared" si="4"/>
        <v>0</v>
      </c>
      <c r="V10" s="74">
        <f t="shared" si="4"/>
        <v>2592.1643100000001</v>
      </c>
      <c r="W10" s="74">
        <f t="shared" si="4"/>
        <v>0</v>
      </c>
      <c r="X10" s="74">
        <f t="shared" si="4"/>
        <v>2381.645</v>
      </c>
      <c r="Y10" s="74">
        <f t="shared" si="4"/>
        <v>0</v>
      </c>
      <c r="Z10" s="74">
        <f t="shared" si="4"/>
        <v>473.10900000000004</v>
      </c>
      <c r="AA10" s="74">
        <f t="shared" si="4"/>
        <v>0</v>
      </c>
      <c r="AB10" s="74">
        <f t="shared" si="4"/>
        <v>533.46</v>
      </c>
      <c r="AC10" s="74">
        <f t="shared" si="4"/>
        <v>0</v>
      </c>
      <c r="AD10" s="74">
        <f t="shared" si="4"/>
        <v>512.95299999999997</v>
      </c>
      <c r="AE10" s="74">
        <f t="shared" si="4"/>
        <v>0</v>
      </c>
      <c r="AF10" s="74">
        <f t="shared" si="4"/>
        <v>666.50189999999998</v>
      </c>
      <c r="AG10" s="74">
        <f t="shared" si="4"/>
        <v>0</v>
      </c>
      <c r="AH10" s="75"/>
      <c r="AJ10" s="269">
        <f t="shared" si="3"/>
        <v>216.9385400000001</v>
      </c>
    </row>
    <row r="11" spans="1:36" s="26" customFormat="1" ht="40.5" customHeight="1" x14ac:dyDescent="0.25">
      <c r="A11" s="365"/>
      <c r="B11" s="368"/>
      <c r="C11" s="124" t="s">
        <v>21</v>
      </c>
      <c r="D11" s="74">
        <f>J11+L11+N11+P11+R11+T11+V11+X11+Z11+AB11+AD11+AF11</f>
        <v>24830.100000000002</v>
      </c>
      <c r="E11" s="74">
        <f>E16+E41</f>
        <v>1408.86589</v>
      </c>
      <c r="F11" s="74">
        <f>F16+F41</f>
        <v>1230.65489</v>
      </c>
      <c r="G11" s="74">
        <f t="shared" ref="G11" si="5">K11+M11+O11+Q11+S11+U11+W11+Y11+AA11+AC11+AE11+AG11</f>
        <v>1228.50468</v>
      </c>
      <c r="H11" s="74">
        <f>IFERROR(G11/D11*100,0)</f>
        <v>4.9476429011562573</v>
      </c>
      <c r="I11" s="74">
        <f>IFERROR(G11/E11*100,0)</f>
        <v>87.198127850195874</v>
      </c>
      <c r="J11" s="74">
        <f>J16+J41</f>
        <v>30</v>
      </c>
      <c r="K11" s="74">
        <f t="shared" si="4"/>
        <v>0</v>
      </c>
      <c r="L11" s="74">
        <f t="shared" si="4"/>
        <v>721.51946999999996</v>
      </c>
      <c r="M11" s="74">
        <f t="shared" si="4"/>
        <v>636.64900999999998</v>
      </c>
      <c r="N11" s="74">
        <f t="shared" si="4"/>
        <v>657.34642000000008</v>
      </c>
      <c r="O11" s="74">
        <f t="shared" si="4"/>
        <v>591.85567000000003</v>
      </c>
      <c r="P11" s="74">
        <f t="shared" si="4"/>
        <v>1242.2988800000001</v>
      </c>
      <c r="Q11" s="74">
        <f t="shared" si="4"/>
        <v>0</v>
      </c>
      <c r="R11" s="74">
        <f t="shared" si="4"/>
        <v>678.37532999999996</v>
      </c>
      <c r="S11" s="74">
        <f t="shared" si="4"/>
        <v>0</v>
      </c>
      <c r="T11" s="74">
        <f t="shared" si="4"/>
        <v>7299.1904400000003</v>
      </c>
      <c r="U11" s="74">
        <f t="shared" si="4"/>
        <v>0</v>
      </c>
      <c r="V11" s="74">
        <f t="shared" si="4"/>
        <v>6101.3523599999999</v>
      </c>
      <c r="W11" s="74">
        <f t="shared" si="4"/>
        <v>0</v>
      </c>
      <c r="X11" s="74">
        <f t="shared" si="4"/>
        <v>6017.1172000000006</v>
      </c>
      <c r="Y11" s="74">
        <f t="shared" si="4"/>
        <v>0</v>
      </c>
      <c r="Z11" s="74">
        <f t="shared" si="4"/>
        <v>541.52602000000002</v>
      </c>
      <c r="AA11" s="74">
        <f t="shared" si="4"/>
        <v>0</v>
      </c>
      <c r="AB11" s="74">
        <f t="shared" si="4"/>
        <v>648.64215999999999</v>
      </c>
      <c r="AC11" s="74">
        <f t="shared" si="4"/>
        <v>0</v>
      </c>
      <c r="AD11" s="74">
        <f t="shared" si="4"/>
        <v>637.63171999999997</v>
      </c>
      <c r="AE11" s="74">
        <f t="shared" si="4"/>
        <v>0</v>
      </c>
      <c r="AF11" s="74">
        <f t="shared" si="4"/>
        <v>255.1</v>
      </c>
      <c r="AG11" s="74">
        <f t="shared" si="4"/>
        <v>0</v>
      </c>
      <c r="AH11" s="75"/>
      <c r="AJ11" s="269">
        <f t="shared" si="3"/>
        <v>180.36121000000003</v>
      </c>
    </row>
    <row r="12" spans="1:36" s="22" customFormat="1" ht="18.75" customHeight="1" x14ac:dyDescent="0.25">
      <c r="A12" s="66"/>
      <c r="B12" s="370" t="s">
        <v>207</v>
      </c>
      <c r="C12" s="371"/>
      <c r="D12" s="371"/>
      <c r="E12" s="371"/>
      <c r="F12" s="371"/>
      <c r="G12" s="371"/>
      <c r="H12" s="371"/>
      <c r="I12" s="371"/>
      <c r="J12" s="371"/>
      <c r="K12" s="371"/>
      <c r="L12" s="371"/>
      <c r="M12" s="371"/>
      <c r="N12" s="371"/>
      <c r="O12" s="371"/>
      <c r="P12" s="371"/>
      <c r="Q12" s="371"/>
      <c r="R12" s="371"/>
      <c r="S12" s="371"/>
      <c r="T12" s="371"/>
      <c r="U12" s="371"/>
      <c r="V12" s="371"/>
      <c r="W12" s="371"/>
      <c r="X12" s="371"/>
      <c r="Y12" s="371"/>
      <c r="Z12" s="371"/>
      <c r="AA12" s="371"/>
      <c r="AB12" s="371"/>
      <c r="AC12" s="371"/>
      <c r="AD12" s="371"/>
      <c r="AE12" s="371"/>
      <c r="AF12" s="371"/>
      <c r="AG12" s="372"/>
      <c r="AH12" s="64"/>
    </row>
    <row r="13" spans="1:36" s="21" customFormat="1" ht="23.25" customHeight="1" x14ac:dyDescent="0.25">
      <c r="A13" s="373" t="s">
        <v>37</v>
      </c>
      <c r="B13" s="409" t="s">
        <v>208</v>
      </c>
      <c r="C13" s="125" t="s">
        <v>20</v>
      </c>
      <c r="D13" s="70">
        <f>D15+D16+D14</f>
        <v>33505.300000000003</v>
      </c>
      <c r="E13" s="58">
        <f>E15+E16+E14</f>
        <v>1955.86589</v>
      </c>
      <c r="F13" s="58">
        <f>F15+F16+F14</f>
        <v>1690.38996</v>
      </c>
      <c r="G13" s="58">
        <f>G15+G16+G14</f>
        <v>1688.23786</v>
      </c>
      <c r="H13" s="58">
        <f t="shared" ref="H13:H36" si="6">IFERROR(G13/D13*100,0)</f>
        <v>5.0387188295583076</v>
      </c>
      <c r="I13" s="58">
        <f t="shared" ref="I13:I36" si="7">IFERROR(G13/E13*100,0)</f>
        <v>86.316647201204574</v>
      </c>
      <c r="J13" s="58">
        <f t="shared" ref="J13:AG13" si="8">J15+J16+J14</f>
        <v>44.7</v>
      </c>
      <c r="K13" s="58">
        <f t="shared" si="8"/>
        <v>0</v>
      </c>
      <c r="L13" s="58">
        <f t="shared" si="8"/>
        <v>986.12946999999997</v>
      </c>
      <c r="M13" s="58">
        <f t="shared" si="8"/>
        <v>856.94901000000004</v>
      </c>
      <c r="N13" s="58">
        <f t="shared" si="8"/>
        <v>925.03642000000013</v>
      </c>
      <c r="O13" s="58">
        <f t="shared" si="8"/>
        <v>831.28885000000002</v>
      </c>
      <c r="P13" s="58">
        <f t="shared" si="8"/>
        <v>1507.1988799999999</v>
      </c>
      <c r="Q13" s="58">
        <f t="shared" si="8"/>
        <v>0</v>
      </c>
      <c r="R13" s="58">
        <f t="shared" si="8"/>
        <v>921.27532999999994</v>
      </c>
      <c r="S13" s="58">
        <f t="shared" si="8"/>
        <v>0</v>
      </c>
      <c r="T13" s="58">
        <f t="shared" si="8"/>
        <v>9814.0904399999999</v>
      </c>
      <c r="U13" s="58">
        <f t="shared" si="8"/>
        <v>0</v>
      </c>
      <c r="V13" s="58">
        <f t="shared" si="8"/>
        <v>8216.2523600000004</v>
      </c>
      <c r="W13" s="58">
        <f t="shared" si="8"/>
        <v>0</v>
      </c>
      <c r="X13" s="58">
        <f t="shared" si="8"/>
        <v>8082.217200000001</v>
      </c>
      <c r="Y13" s="58">
        <f t="shared" si="8"/>
        <v>0</v>
      </c>
      <c r="Z13" s="58">
        <f t="shared" si="8"/>
        <v>766.42601999999999</v>
      </c>
      <c r="AA13" s="58">
        <f t="shared" si="8"/>
        <v>0</v>
      </c>
      <c r="AB13" s="58">
        <f t="shared" si="8"/>
        <v>905.94216000000006</v>
      </c>
      <c r="AC13" s="58">
        <f t="shared" si="8"/>
        <v>0</v>
      </c>
      <c r="AD13" s="58">
        <f t="shared" si="8"/>
        <v>902.43172000000004</v>
      </c>
      <c r="AE13" s="58">
        <f t="shared" si="8"/>
        <v>0</v>
      </c>
      <c r="AF13" s="58">
        <f t="shared" si="8"/>
        <v>433.6</v>
      </c>
      <c r="AG13" s="58">
        <f t="shared" si="8"/>
        <v>0</v>
      </c>
      <c r="AH13" s="60"/>
      <c r="AI13" s="23"/>
      <c r="AJ13" s="269">
        <f t="shared" si="3"/>
        <v>267.62803000000008</v>
      </c>
    </row>
    <row r="14" spans="1:36" s="21" customFormat="1" ht="17.25" hidden="1" customHeight="1" x14ac:dyDescent="0.25">
      <c r="A14" s="374"/>
      <c r="B14" s="430"/>
      <c r="C14" s="126" t="s">
        <v>52</v>
      </c>
      <c r="D14" s="74">
        <f>SUM(J14,L14,N14,P14,R14,T14,V14,X14,Z14,AB14,AD14,AF14)</f>
        <v>0</v>
      </c>
      <c r="E14" s="62">
        <f>J14</f>
        <v>0</v>
      </c>
      <c r="F14" s="62">
        <f>G14</f>
        <v>0</v>
      </c>
      <c r="G14" s="62">
        <f>SUM(K14,M14,O14,Q14,S14,U14,W14,Y14,AA14,AC14,AE14,AG14)</f>
        <v>0</v>
      </c>
      <c r="H14" s="62">
        <f t="shared" si="6"/>
        <v>0</v>
      </c>
      <c r="I14" s="62">
        <f t="shared" si="7"/>
        <v>0</v>
      </c>
      <c r="J14" s="62">
        <f>J18</f>
        <v>0</v>
      </c>
      <c r="K14" s="62">
        <f t="shared" ref="K14:AG14" si="9">K18</f>
        <v>0</v>
      </c>
      <c r="L14" s="62">
        <f t="shared" si="9"/>
        <v>0</v>
      </c>
      <c r="M14" s="62">
        <f t="shared" si="9"/>
        <v>0</v>
      </c>
      <c r="N14" s="62">
        <f t="shared" si="9"/>
        <v>0</v>
      </c>
      <c r="O14" s="62">
        <f t="shared" si="9"/>
        <v>0</v>
      </c>
      <c r="P14" s="62">
        <f t="shared" si="9"/>
        <v>0</v>
      </c>
      <c r="Q14" s="62">
        <f t="shared" si="9"/>
        <v>0</v>
      </c>
      <c r="R14" s="62">
        <f t="shared" si="9"/>
        <v>0</v>
      </c>
      <c r="S14" s="62">
        <f t="shared" si="9"/>
        <v>0</v>
      </c>
      <c r="T14" s="62">
        <f t="shared" si="9"/>
        <v>0</v>
      </c>
      <c r="U14" s="62">
        <f t="shared" si="9"/>
        <v>0</v>
      </c>
      <c r="V14" s="62">
        <f t="shared" si="9"/>
        <v>0</v>
      </c>
      <c r="W14" s="62">
        <f t="shared" si="9"/>
        <v>0</v>
      </c>
      <c r="X14" s="62">
        <f t="shared" si="9"/>
        <v>0</v>
      </c>
      <c r="Y14" s="62">
        <f t="shared" si="9"/>
        <v>0</v>
      </c>
      <c r="Z14" s="62">
        <f t="shared" si="9"/>
        <v>0</v>
      </c>
      <c r="AA14" s="62">
        <f t="shared" si="9"/>
        <v>0</v>
      </c>
      <c r="AB14" s="62">
        <f t="shared" si="9"/>
        <v>0</v>
      </c>
      <c r="AC14" s="62">
        <f t="shared" si="9"/>
        <v>0</v>
      </c>
      <c r="AD14" s="62">
        <f t="shared" si="9"/>
        <v>0</v>
      </c>
      <c r="AE14" s="62">
        <f t="shared" si="9"/>
        <v>0</v>
      </c>
      <c r="AF14" s="62">
        <f t="shared" si="9"/>
        <v>0</v>
      </c>
      <c r="AG14" s="62">
        <f t="shared" si="9"/>
        <v>0</v>
      </c>
      <c r="AH14" s="60"/>
      <c r="AI14" s="23"/>
      <c r="AJ14" s="269">
        <f t="shared" si="3"/>
        <v>0</v>
      </c>
    </row>
    <row r="15" spans="1:36" s="21" customFormat="1" ht="37.5" customHeight="1" x14ac:dyDescent="0.25">
      <c r="A15" s="374"/>
      <c r="B15" s="430"/>
      <c r="C15" s="126" t="s">
        <v>22</v>
      </c>
      <c r="D15" s="74">
        <f>SUM(J15,L15,N15,P15,R15,T15,V15,X15,Z15,AB15,AD15,AF15)</f>
        <v>8697.1999999999989</v>
      </c>
      <c r="E15" s="62">
        <f>E19+E23+E27+E35</f>
        <v>547</v>
      </c>
      <c r="F15" s="62">
        <f>F19+F23+F27+F35</f>
        <v>459.73507000000001</v>
      </c>
      <c r="G15" s="62">
        <f>SUM(K15,M15,O15,Q15,S15,U15,W15,Y15,AA15,AC15,AE15,AG15)</f>
        <v>459.73318</v>
      </c>
      <c r="H15" s="62">
        <f t="shared" si="6"/>
        <v>5.2859906636618685</v>
      </c>
      <c r="I15" s="62">
        <f t="shared" si="7"/>
        <v>84.04628519195613</v>
      </c>
      <c r="J15" s="63">
        <f>J19+J23+J27+J35</f>
        <v>14.7</v>
      </c>
      <c r="K15" s="63">
        <f t="shared" ref="K15:AG15" si="10">K19+K23+K27+K35</f>
        <v>0</v>
      </c>
      <c r="L15" s="63">
        <f t="shared" si="10"/>
        <v>264.61</v>
      </c>
      <c r="M15" s="63">
        <f t="shared" si="10"/>
        <v>220.3</v>
      </c>
      <c r="N15" s="63">
        <f t="shared" si="10"/>
        <v>267.69</v>
      </c>
      <c r="O15" s="63">
        <f t="shared" si="10"/>
        <v>239.43317999999999</v>
      </c>
      <c r="P15" s="63">
        <f t="shared" si="10"/>
        <v>264.89999999999998</v>
      </c>
      <c r="Q15" s="63">
        <f t="shared" si="10"/>
        <v>0</v>
      </c>
      <c r="R15" s="63">
        <f t="shared" si="10"/>
        <v>264.89999999999998</v>
      </c>
      <c r="S15" s="63">
        <f t="shared" si="10"/>
        <v>0</v>
      </c>
      <c r="T15" s="63">
        <f t="shared" si="10"/>
        <v>2514.9</v>
      </c>
      <c r="U15" s="63">
        <f t="shared" si="10"/>
        <v>0</v>
      </c>
      <c r="V15" s="63">
        <f t="shared" si="10"/>
        <v>2114.9</v>
      </c>
      <c r="W15" s="63">
        <f t="shared" si="10"/>
        <v>0</v>
      </c>
      <c r="X15" s="63">
        <f t="shared" si="10"/>
        <v>2065.1</v>
      </c>
      <c r="Y15" s="63">
        <f t="shared" si="10"/>
        <v>0</v>
      </c>
      <c r="Z15" s="63">
        <f t="shared" si="10"/>
        <v>224.9</v>
      </c>
      <c r="AA15" s="63">
        <f t="shared" si="10"/>
        <v>0</v>
      </c>
      <c r="AB15" s="63">
        <f t="shared" si="10"/>
        <v>257.3</v>
      </c>
      <c r="AC15" s="63">
        <f t="shared" si="10"/>
        <v>0</v>
      </c>
      <c r="AD15" s="63">
        <f t="shared" si="10"/>
        <v>264.8</v>
      </c>
      <c r="AE15" s="63">
        <f t="shared" si="10"/>
        <v>0</v>
      </c>
      <c r="AF15" s="63">
        <f t="shared" si="10"/>
        <v>178.5</v>
      </c>
      <c r="AG15" s="63">
        <f t="shared" si="10"/>
        <v>0</v>
      </c>
      <c r="AH15" s="60"/>
      <c r="AI15" s="23"/>
      <c r="AJ15" s="269">
        <f t="shared" si="3"/>
        <v>87.266819999999996</v>
      </c>
    </row>
    <row r="16" spans="1:36" s="22" customFormat="1" ht="29.25" customHeight="1" x14ac:dyDescent="0.25">
      <c r="A16" s="375"/>
      <c r="B16" s="410"/>
      <c r="C16" s="126" t="s">
        <v>21</v>
      </c>
      <c r="D16" s="74">
        <f>SUM(J16,L16,N16,P16,R16,T16,V16,X16,Z16,AB16,AD16,AF16)</f>
        <v>24808.100000000002</v>
      </c>
      <c r="E16" s="62">
        <f>E20+E24+E28+E32</f>
        <v>1408.86589</v>
      </c>
      <c r="F16" s="62">
        <f>F20+F24+F28+F32</f>
        <v>1230.65489</v>
      </c>
      <c r="G16" s="62">
        <f>SUM(K16,M16,O16,Q16,S16,U16,W16,Y16,AA16,AC16,AE16,AG16)</f>
        <v>1228.50468</v>
      </c>
      <c r="H16" s="62">
        <f t="shared" si="6"/>
        <v>4.9520305061653245</v>
      </c>
      <c r="I16" s="62">
        <f t="shared" si="7"/>
        <v>87.198127850195874</v>
      </c>
      <c r="J16" s="67">
        <f>J20+J24+J28+J32</f>
        <v>30</v>
      </c>
      <c r="K16" s="67">
        <f t="shared" ref="K16:AG16" si="11">K20+K24+K28+K32</f>
        <v>0</v>
      </c>
      <c r="L16" s="67">
        <f t="shared" si="11"/>
        <v>721.51946999999996</v>
      </c>
      <c r="M16" s="67">
        <f t="shared" si="11"/>
        <v>636.64900999999998</v>
      </c>
      <c r="N16" s="67">
        <f t="shared" si="11"/>
        <v>657.34642000000008</v>
      </c>
      <c r="O16" s="67">
        <f t="shared" si="11"/>
        <v>591.85567000000003</v>
      </c>
      <c r="P16" s="67">
        <f t="shared" si="11"/>
        <v>1242.2988800000001</v>
      </c>
      <c r="Q16" s="67">
        <f t="shared" si="11"/>
        <v>0</v>
      </c>
      <c r="R16" s="67">
        <f t="shared" si="11"/>
        <v>656.37532999999996</v>
      </c>
      <c r="S16" s="67">
        <f t="shared" si="11"/>
        <v>0</v>
      </c>
      <c r="T16" s="67">
        <f t="shared" si="11"/>
        <v>7299.1904400000003</v>
      </c>
      <c r="U16" s="67">
        <f t="shared" si="11"/>
        <v>0</v>
      </c>
      <c r="V16" s="67">
        <f t="shared" si="11"/>
        <v>6101.3523599999999</v>
      </c>
      <c r="W16" s="67">
        <f t="shared" si="11"/>
        <v>0</v>
      </c>
      <c r="X16" s="67">
        <f t="shared" si="11"/>
        <v>6017.1172000000006</v>
      </c>
      <c r="Y16" s="67">
        <f t="shared" si="11"/>
        <v>0</v>
      </c>
      <c r="Z16" s="67">
        <f t="shared" si="11"/>
        <v>541.52602000000002</v>
      </c>
      <c r="AA16" s="67">
        <f t="shared" si="11"/>
        <v>0</v>
      </c>
      <c r="AB16" s="67">
        <f t="shared" si="11"/>
        <v>648.64215999999999</v>
      </c>
      <c r="AC16" s="67">
        <f t="shared" si="11"/>
        <v>0</v>
      </c>
      <c r="AD16" s="67">
        <f t="shared" si="11"/>
        <v>637.63171999999997</v>
      </c>
      <c r="AE16" s="67">
        <f t="shared" si="11"/>
        <v>0</v>
      </c>
      <c r="AF16" s="67">
        <f t="shared" si="11"/>
        <v>255.1</v>
      </c>
      <c r="AG16" s="67">
        <f t="shared" si="11"/>
        <v>0</v>
      </c>
      <c r="AH16" s="64"/>
      <c r="AI16" s="20"/>
      <c r="AJ16" s="269">
        <f t="shared" si="3"/>
        <v>180.36121000000003</v>
      </c>
    </row>
    <row r="17" spans="1:36" s="21" customFormat="1" ht="21" customHeight="1" x14ac:dyDescent="0.25">
      <c r="A17" s="373"/>
      <c r="B17" s="411" t="s">
        <v>209</v>
      </c>
      <c r="C17" s="125" t="s">
        <v>20</v>
      </c>
      <c r="D17" s="70">
        <f>D19+D20+D18</f>
        <v>2257.1</v>
      </c>
      <c r="E17" s="58">
        <f>E19+E20+E18</f>
        <v>483.63099999999997</v>
      </c>
      <c r="F17" s="58">
        <f>F19+F20+F18</f>
        <v>218.63126000000003</v>
      </c>
      <c r="G17" s="58">
        <f t="shared" ref="G17" si="12">G19+G20+G18</f>
        <v>218.63</v>
      </c>
      <c r="H17" s="58">
        <f t="shared" si="6"/>
        <v>9.6863231580346465</v>
      </c>
      <c r="I17" s="58">
        <f t="shared" si="7"/>
        <v>45.205952472029296</v>
      </c>
      <c r="J17" s="58">
        <f t="shared" ref="J17:AG17" si="13">J19+J20+J18</f>
        <v>44.7</v>
      </c>
      <c r="K17" s="58">
        <f t="shared" si="13"/>
        <v>0</v>
      </c>
      <c r="L17" s="58">
        <f t="shared" si="13"/>
        <v>210.24099999999999</v>
      </c>
      <c r="M17" s="58">
        <f t="shared" si="13"/>
        <v>81.599999999999994</v>
      </c>
      <c r="N17" s="58">
        <f t="shared" si="13"/>
        <v>228.69</v>
      </c>
      <c r="O17" s="58">
        <f t="shared" si="13"/>
        <v>137.03</v>
      </c>
      <c r="P17" s="58">
        <f t="shared" si="13"/>
        <v>223.82300000000001</v>
      </c>
      <c r="Q17" s="58">
        <f t="shared" si="13"/>
        <v>0</v>
      </c>
      <c r="R17" s="58">
        <f t="shared" si="13"/>
        <v>222.6</v>
      </c>
      <c r="S17" s="58">
        <f t="shared" si="13"/>
        <v>0</v>
      </c>
      <c r="T17" s="58">
        <f t="shared" si="13"/>
        <v>219.423</v>
      </c>
      <c r="U17" s="58">
        <f t="shared" si="13"/>
        <v>0</v>
      </c>
      <c r="V17" s="58">
        <f t="shared" si="13"/>
        <v>227.8</v>
      </c>
      <c r="W17" s="58">
        <f t="shared" si="13"/>
        <v>0</v>
      </c>
      <c r="X17" s="58">
        <f t="shared" si="13"/>
        <v>55.300000000000004</v>
      </c>
      <c r="Y17" s="58">
        <f t="shared" si="13"/>
        <v>0</v>
      </c>
      <c r="Z17" s="58">
        <f t="shared" si="13"/>
        <v>74.199999999999989</v>
      </c>
      <c r="AA17" s="58">
        <f t="shared" si="13"/>
        <v>0</v>
      </c>
      <c r="AB17" s="58">
        <f t="shared" si="13"/>
        <v>215.52300000000002</v>
      </c>
      <c r="AC17" s="58">
        <f t="shared" si="13"/>
        <v>0</v>
      </c>
      <c r="AD17" s="58">
        <f t="shared" si="13"/>
        <v>201.2</v>
      </c>
      <c r="AE17" s="58">
        <f t="shared" si="13"/>
        <v>0</v>
      </c>
      <c r="AF17" s="58">
        <f t="shared" si="13"/>
        <v>333.6</v>
      </c>
      <c r="AG17" s="58">
        <f t="shared" si="13"/>
        <v>0</v>
      </c>
      <c r="AH17" s="60"/>
      <c r="AI17" s="23"/>
      <c r="AJ17" s="268">
        <f t="shared" si="3"/>
        <v>265.00099999999998</v>
      </c>
    </row>
    <row r="18" spans="1:36" s="21" customFormat="1" ht="23.25" hidden="1" customHeight="1" x14ac:dyDescent="0.25">
      <c r="A18" s="374"/>
      <c r="B18" s="412"/>
      <c r="C18" s="126" t="s">
        <v>52</v>
      </c>
      <c r="D18" s="74">
        <f>SUM(J18,L18,N18,P18,R18,T18,V18,X18,Z18,AB18,AD18,AF18)</f>
        <v>0</v>
      </c>
      <c r="E18" s="62">
        <f>J18</f>
        <v>0</v>
      </c>
      <c r="F18" s="62">
        <f>G18</f>
        <v>0</v>
      </c>
      <c r="G18" s="62">
        <f>SUM(K18,M18,O18,Q18,S18,U18,W18,Y18,AA18,AC18,AE18,AG18)</f>
        <v>0</v>
      </c>
      <c r="H18" s="62">
        <f t="shared" si="6"/>
        <v>0</v>
      </c>
      <c r="I18" s="62">
        <f t="shared" si="7"/>
        <v>0</v>
      </c>
      <c r="J18" s="62">
        <v>0</v>
      </c>
      <c r="K18" s="62">
        <v>0</v>
      </c>
      <c r="L18" s="62">
        <v>0</v>
      </c>
      <c r="M18" s="62">
        <v>0</v>
      </c>
      <c r="N18" s="62">
        <v>0</v>
      </c>
      <c r="O18" s="62">
        <v>0</v>
      </c>
      <c r="P18" s="62">
        <v>0</v>
      </c>
      <c r="Q18" s="62">
        <v>0</v>
      </c>
      <c r="R18" s="62">
        <v>0</v>
      </c>
      <c r="S18" s="62">
        <v>0</v>
      </c>
      <c r="T18" s="62">
        <v>0</v>
      </c>
      <c r="U18" s="62">
        <v>0</v>
      </c>
      <c r="V18" s="62">
        <v>0</v>
      </c>
      <c r="W18" s="62">
        <v>0</v>
      </c>
      <c r="X18" s="62">
        <v>0</v>
      </c>
      <c r="Y18" s="62">
        <v>0</v>
      </c>
      <c r="Z18" s="62">
        <v>0</v>
      </c>
      <c r="AA18" s="62">
        <v>0</v>
      </c>
      <c r="AB18" s="62">
        <v>0</v>
      </c>
      <c r="AC18" s="62">
        <v>0</v>
      </c>
      <c r="AD18" s="62">
        <v>0</v>
      </c>
      <c r="AE18" s="62">
        <v>0</v>
      </c>
      <c r="AF18" s="62">
        <v>0</v>
      </c>
      <c r="AG18" s="62">
        <v>0</v>
      </c>
      <c r="AH18" s="60"/>
      <c r="AI18" s="23"/>
      <c r="AJ18" s="268">
        <f t="shared" si="3"/>
        <v>0</v>
      </c>
    </row>
    <row r="19" spans="1:36" s="21" customFormat="1" ht="390.75" customHeight="1" x14ac:dyDescent="0.25">
      <c r="A19" s="374"/>
      <c r="B19" s="412"/>
      <c r="C19" s="126" t="s">
        <v>22</v>
      </c>
      <c r="D19" s="74">
        <f>SUM(J19,L19,N19,P19,R19,T19,V19,X19,Z19,AB19,AD19,AF19)</f>
        <v>647.20000000000005</v>
      </c>
      <c r="E19" s="62">
        <f>J19+L19+N19</f>
        <v>147</v>
      </c>
      <c r="F19" s="62">
        <v>60.211260000000003</v>
      </c>
      <c r="G19" s="62">
        <f>SUM(K19,M19,O19,Q19,S19,U19,W19,Y19,AA19,AC19,AE19,AG19)</f>
        <v>60.209999999999994</v>
      </c>
      <c r="H19" s="62">
        <f t="shared" si="6"/>
        <v>9.3031520395550036</v>
      </c>
      <c r="I19" s="62">
        <f t="shared" si="7"/>
        <v>40.959183673469383</v>
      </c>
      <c r="J19" s="63">
        <v>14.7</v>
      </c>
      <c r="K19" s="63">
        <v>0</v>
      </c>
      <c r="L19" s="63">
        <v>64.61</v>
      </c>
      <c r="M19" s="63">
        <v>20.3</v>
      </c>
      <c r="N19" s="63">
        <v>67.69</v>
      </c>
      <c r="O19" s="63">
        <v>39.909999999999997</v>
      </c>
      <c r="P19" s="63">
        <v>64.900000000000006</v>
      </c>
      <c r="Q19" s="63">
        <v>0</v>
      </c>
      <c r="R19" s="63">
        <v>64.900000000000006</v>
      </c>
      <c r="S19" s="63">
        <v>0</v>
      </c>
      <c r="T19" s="63">
        <v>64.900000000000006</v>
      </c>
      <c r="U19" s="63">
        <v>0</v>
      </c>
      <c r="V19" s="63">
        <v>64.900000000000006</v>
      </c>
      <c r="W19" s="63">
        <v>0</v>
      </c>
      <c r="X19" s="63">
        <v>15.1</v>
      </c>
      <c r="Y19" s="63">
        <v>0</v>
      </c>
      <c r="Z19" s="63">
        <v>24.9</v>
      </c>
      <c r="AA19" s="63">
        <v>0</v>
      </c>
      <c r="AB19" s="63">
        <v>57.3</v>
      </c>
      <c r="AC19" s="63">
        <v>0</v>
      </c>
      <c r="AD19" s="63">
        <v>64.8</v>
      </c>
      <c r="AE19" s="63">
        <v>0</v>
      </c>
      <c r="AF19" s="63">
        <v>78.5</v>
      </c>
      <c r="AG19" s="63">
        <v>0</v>
      </c>
      <c r="AH19" s="270" t="s">
        <v>355</v>
      </c>
      <c r="AI19" s="23"/>
      <c r="AJ19" s="268">
        <f t="shared" si="3"/>
        <v>86.79</v>
      </c>
    </row>
    <row r="20" spans="1:36" s="22" customFormat="1" ht="33" customHeight="1" x14ac:dyDescent="0.25">
      <c r="A20" s="375"/>
      <c r="B20" s="429"/>
      <c r="C20" s="126" t="s">
        <v>21</v>
      </c>
      <c r="D20" s="74">
        <f>SUM(J20,L20,N20,P20,R20,T20,V20,X20,Z20,AB20,AD20,AF20)</f>
        <v>1609.8999999999999</v>
      </c>
      <c r="E20" s="62">
        <f>J20+L20+N20</f>
        <v>336.63099999999997</v>
      </c>
      <c r="F20" s="62">
        <f>G20</f>
        <v>158.42000000000002</v>
      </c>
      <c r="G20" s="62">
        <f>SUM(K20,M20,O20,Q20,S20,U20,W20,Y20,AA20,AC20,AE20,AG20)</f>
        <v>158.42000000000002</v>
      </c>
      <c r="H20" s="62">
        <f t="shared" si="6"/>
        <v>9.8403627554506503</v>
      </c>
      <c r="I20" s="62">
        <f t="shared" si="7"/>
        <v>47.060431154587675</v>
      </c>
      <c r="J20" s="67">
        <v>30</v>
      </c>
      <c r="K20" s="67">
        <v>0</v>
      </c>
      <c r="L20" s="67">
        <v>145.631</v>
      </c>
      <c r="M20" s="67">
        <v>61.3</v>
      </c>
      <c r="N20" s="67">
        <v>161</v>
      </c>
      <c r="O20" s="67">
        <v>97.12</v>
      </c>
      <c r="P20" s="67">
        <v>158.923</v>
      </c>
      <c r="Q20" s="67">
        <v>0</v>
      </c>
      <c r="R20" s="67">
        <v>157.69999999999999</v>
      </c>
      <c r="S20" s="67">
        <v>0</v>
      </c>
      <c r="T20" s="67">
        <v>154.523</v>
      </c>
      <c r="U20" s="67">
        <v>0</v>
      </c>
      <c r="V20" s="67">
        <v>162.9</v>
      </c>
      <c r="W20" s="67">
        <v>0</v>
      </c>
      <c r="X20" s="67">
        <v>40.200000000000003</v>
      </c>
      <c r="Y20" s="67">
        <v>0</v>
      </c>
      <c r="Z20" s="67">
        <v>49.3</v>
      </c>
      <c r="AA20" s="67">
        <v>0</v>
      </c>
      <c r="AB20" s="67">
        <v>158.22300000000001</v>
      </c>
      <c r="AC20" s="67">
        <v>0</v>
      </c>
      <c r="AD20" s="67">
        <v>136.4</v>
      </c>
      <c r="AE20" s="67">
        <v>0</v>
      </c>
      <c r="AF20" s="67">
        <v>255.1</v>
      </c>
      <c r="AG20" s="67">
        <v>0</v>
      </c>
      <c r="AH20" s="64"/>
      <c r="AI20" s="20"/>
      <c r="AJ20" s="268">
        <f t="shared" si="3"/>
        <v>178.21099999999996</v>
      </c>
    </row>
    <row r="21" spans="1:36" s="21" customFormat="1" ht="18" customHeight="1" x14ac:dyDescent="0.25">
      <c r="A21" s="373"/>
      <c r="B21" s="411" t="s">
        <v>210</v>
      </c>
      <c r="C21" s="125" t="s">
        <v>20</v>
      </c>
      <c r="D21" s="70">
        <f>D23+D24+D22</f>
        <v>23333</v>
      </c>
      <c r="E21" s="58">
        <f>E23+E24+E22</f>
        <v>77.213139999999996</v>
      </c>
      <c r="F21" s="58">
        <f t="shared" ref="F21:G21" si="14">F23+F24+F22</f>
        <v>77.213139999999996</v>
      </c>
      <c r="G21" s="58">
        <f t="shared" si="14"/>
        <v>77.213139999999996</v>
      </c>
      <c r="H21" s="58">
        <f t="shared" si="6"/>
        <v>0.33091818454549349</v>
      </c>
      <c r="I21" s="58">
        <f t="shared" si="7"/>
        <v>100</v>
      </c>
      <c r="J21" s="58">
        <f t="shared" ref="J21:AG21" si="15">J23+J24+J22</f>
        <v>0</v>
      </c>
      <c r="K21" s="58">
        <f t="shared" si="15"/>
        <v>0</v>
      </c>
      <c r="L21" s="58">
        <f t="shared" si="15"/>
        <v>77.213139999999996</v>
      </c>
      <c r="M21" s="58">
        <f t="shared" si="15"/>
        <v>77.213139999999996</v>
      </c>
      <c r="N21" s="58">
        <f t="shared" si="15"/>
        <v>0</v>
      </c>
      <c r="O21" s="58">
        <f t="shared" si="15"/>
        <v>0</v>
      </c>
      <c r="P21" s="58">
        <f t="shared" si="15"/>
        <v>533.40796999999998</v>
      </c>
      <c r="Q21" s="58">
        <f t="shared" si="15"/>
        <v>0</v>
      </c>
      <c r="R21" s="58">
        <f t="shared" si="15"/>
        <v>0</v>
      </c>
      <c r="S21" s="58">
        <f t="shared" si="15"/>
        <v>0</v>
      </c>
      <c r="T21" s="58">
        <f t="shared" si="15"/>
        <v>8530.2443000000003</v>
      </c>
      <c r="U21" s="58">
        <f t="shared" si="15"/>
        <v>0</v>
      </c>
      <c r="V21" s="58">
        <f t="shared" si="15"/>
        <v>7076.5461100000002</v>
      </c>
      <c r="W21" s="58">
        <f t="shared" si="15"/>
        <v>0</v>
      </c>
      <c r="X21" s="58">
        <f t="shared" si="15"/>
        <v>7115.5884800000003</v>
      </c>
      <c r="Y21" s="58">
        <f t="shared" si="15"/>
        <v>0</v>
      </c>
      <c r="Z21" s="58">
        <f t="shared" si="15"/>
        <v>0</v>
      </c>
      <c r="AA21" s="58">
        <f t="shared" si="15"/>
        <v>0</v>
      </c>
      <c r="AB21" s="58">
        <f t="shared" si="15"/>
        <v>0</v>
      </c>
      <c r="AC21" s="58">
        <f t="shared" si="15"/>
        <v>0</v>
      </c>
      <c r="AD21" s="58">
        <f t="shared" si="15"/>
        <v>0</v>
      </c>
      <c r="AE21" s="58">
        <f t="shared" si="15"/>
        <v>0</v>
      </c>
      <c r="AF21" s="58">
        <f t="shared" si="15"/>
        <v>0</v>
      </c>
      <c r="AG21" s="58">
        <f t="shared" si="15"/>
        <v>0</v>
      </c>
      <c r="AH21" s="60"/>
      <c r="AI21" s="23"/>
      <c r="AJ21" s="268">
        <f t="shared" si="3"/>
        <v>0</v>
      </c>
    </row>
    <row r="22" spans="1:36" s="21" customFormat="1" ht="36" hidden="1" customHeight="1" x14ac:dyDescent="0.25">
      <c r="A22" s="374"/>
      <c r="B22" s="412"/>
      <c r="C22" s="126" t="s">
        <v>52</v>
      </c>
      <c r="D22" s="74">
        <f>SUM(J22,L22,N22,P22,R22,T22,V22,X22,Z22,AB22,AD22,AF22)</f>
        <v>0</v>
      </c>
      <c r="E22" s="62">
        <f>J22</f>
        <v>0</v>
      </c>
      <c r="F22" s="62">
        <f>G22</f>
        <v>0</v>
      </c>
      <c r="G22" s="62">
        <f>SUM(K22,M22,O22,Q22,S22,U22,W22,Y22,AA22,AC22,AE22,AG22)</f>
        <v>0</v>
      </c>
      <c r="H22" s="62">
        <f t="shared" si="6"/>
        <v>0</v>
      </c>
      <c r="I22" s="62">
        <f t="shared" si="7"/>
        <v>0</v>
      </c>
      <c r="J22" s="62">
        <v>0</v>
      </c>
      <c r="K22" s="62">
        <v>0</v>
      </c>
      <c r="L22" s="62">
        <v>0</v>
      </c>
      <c r="M22" s="62">
        <v>0</v>
      </c>
      <c r="N22" s="62">
        <v>0</v>
      </c>
      <c r="O22" s="62">
        <v>0</v>
      </c>
      <c r="P22" s="62">
        <v>0</v>
      </c>
      <c r="Q22" s="62">
        <v>0</v>
      </c>
      <c r="R22" s="62">
        <v>0</v>
      </c>
      <c r="S22" s="62">
        <v>0</v>
      </c>
      <c r="T22" s="62">
        <v>0</v>
      </c>
      <c r="U22" s="62">
        <v>0</v>
      </c>
      <c r="V22" s="62">
        <v>0</v>
      </c>
      <c r="W22" s="62">
        <v>0</v>
      </c>
      <c r="X22" s="62">
        <v>0</v>
      </c>
      <c r="Y22" s="62">
        <v>0</v>
      </c>
      <c r="Z22" s="62">
        <v>0</v>
      </c>
      <c r="AA22" s="62">
        <v>0</v>
      </c>
      <c r="AB22" s="62">
        <v>0</v>
      </c>
      <c r="AC22" s="62">
        <v>0</v>
      </c>
      <c r="AD22" s="62">
        <v>0</v>
      </c>
      <c r="AE22" s="62">
        <v>0</v>
      </c>
      <c r="AF22" s="62">
        <v>0</v>
      </c>
      <c r="AG22" s="62">
        <v>0</v>
      </c>
      <c r="AH22" s="60"/>
      <c r="AI22" s="23"/>
      <c r="AJ22" s="268">
        <f t="shared" si="3"/>
        <v>0</v>
      </c>
    </row>
    <row r="23" spans="1:36" s="21" customFormat="1" ht="37.5" customHeight="1" x14ac:dyDescent="0.25">
      <c r="A23" s="374"/>
      <c r="B23" s="412"/>
      <c r="C23" s="126" t="s">
        <v>22</v>
      </c>
      <c r="D23" s="74">
        <f>SUM(J23,L23,N23,P23,R23,T23,V23,X23,Z23,AB23,AD23,AF23)</f>
        <v>6550</v>
      </c>
      <c r="E23" s="62">
        <f>J23+L23+N23</f>
        <v>0</v>
      </c>
      <c r="F23" s="62">
        <v>0</v>
      </c>
      <c r="G23" s="62">
        <f>SUM(K23,M23,O23,Q23,S23,U23,W23,Y23,AA23,AC23,AE23,AG23)</f>
        <v>0</v>
      </c>
      <c r="H23" s="62">
        <f t="shared" si="6"/>
        <v>0</v>
      </c>
      <c r="I23" s="62">
        <f t="shared" si="7"/>
        <v>0</v>
      </c>
      <c r="J23" s="63">
        <v>0</v>
      </c>
      <c r="K23" s="63">
        <v>0</v>
      </c>
      <c r="L23" s="63">
        <v>0</v>
      </c>
      <c r="M23" s="63">
        <v>0</v>
      </c>
      <c r="N23" s="63">
        <v>0</v>
      </c>
      <c r="O23" s="63">
        <v>0</v>
      </c>
      <c r="P23" s="63">
        <v>0</v>
      </c>
      <c r="Q23" s="63">
        <v>0</v>
      </c>
      <c r="R23" s="63">
        <v>0</v>
      </c>
      <c r="S23" s="63">
        <v>0</v>
      </c>
      <c r="T23" s="63">
        <v>2450</v>
      </c>
      <c r="U23" s="63">
        <v>0</v>
      </c>
      <c r="V23" s="63">
        <v>2050</v>
      </c>
      <c r="W23" s="63">
        <v>0</v>
      </c>
      <c r="X23" s="63">
        <v>2050</v>
      </c>
      <c r="Y23" s="63">
        <v>0</v>
      </c>
      <c r="Z23" s="63">
        <v>0</v>
      </c>
      <c r="AA23" s="63">
        <v>0</v>
      </c>
      <c r="AB23" s="63">
        <v>0</v>
      </c>
      <c r="AC23" s="63">
        <v>0</v>
      </c>
      <c r="AD23" s="63">
        <v>0</v>
      </c>
      <c r="AE23" s="63">
        <v>0</v>
      </c>
      <c r="AF23" s="63">
        <v>0</v>
      </c>
      <c r="AG23" s="63">
        <v>0</v>
      </c>
      <c r="AH23" s="63"/>
      <c r="AI23" s="23"/>
      <c r="AJ23" s="268">
        <f t="shared" si="3"/>
        <v>0</v>
      </c>
    </row>
    <row r="24" spans="1:36" s="22" customFormat="1" ht="28.5" customHeight="1" x14ac:dyDescent="0.25">
      <c r="A24" s="375"/>
      <c r="B24" s="429"/>
      <c r="C24" s="126" t="s">
        <v>21</v>
      </c>
      <c r="D24" s="74">
        <f>SUM(J24,L24,N24,P24,R24,T24,V24,X24,Z24,AB24,AD24,AF24)</f>
        <v>16783</v>
      </c>
      <c r="E24" s="62">
        <f>J24+L24+N24</f>
        <v>77.213139999999996</v>
      </c>
      <c r="F24" s="62">
        <f>E24</f>
        <v>77.213139999999996</v>
      </c>
      <c r="G24" s="62">
        <f>SUM(K24,M24,O24,Q24,S24,U24,W24,Y24,AA24,AC24,AE24,AG24)</f>
        <v>77.213139999999996</v>
      </c>
      <c r="H24" s="62">
        <f t="shared" si="6"/>
        <v>0.46006756837275808</v>
      </c>
      <c r="I24" s="62">
        <f t="shared" si="7"/>
        <v>100</v>
      </c>
      <c r="J24" s="67">
        <v>0</v>
      </c>
      <c r="K24" s="67">
        <v>0</v>
      </c>
      <c r="L24" s="67">
        <v>77.213139999999996</v>
      </c>
      <c r="M24" s="67">
        <v>77.213139999999996</v>
      </c>
      <c r="N24" s="67">
        <v>0</v>
      </c>
      <c r="O24" s="67">
        <v>0</v>
      </c>
      <c r="P24" s="67">
        <v>533.40796999999998</v>
      </c>
      <c r="Q24" s="67">
        <v>0</v>
      </c>
      <c r="R24" s="67">
        <v>0</v>
      </c>
      <c r="S24" s="67">
        <v>0</v>
      </c>
      <c r="T24" s="67">
        <v>6080.2443000000003</v>
      </c>
      <c r="U24" s="67">
        <v>0</v>
      </c>
      <c r="V24" s="67">
        <v>5026.5461100000002</v>
      </c>
      <c r="W24" s="67">
        <v>0</v>
      </c>
      <c r="X24" s="67">
        <v>5065.5884800000003</v>
      </c>
      <c r="Y24" s="67">
        <v>0</v>
      </c>
      <c r="Z24" s="67">
        <v>0</v>
      </c>
      <c r="AA24" s="67">
        <v>0</v>
      </c>
      <c r="AB24" s="67">
        <v>0</v>
      </c>
      <c r="AC24" s="67">
        <v>0</v>
      </c>
      <c r="AD24" s="67">
        <v>0</v>
      </c>
      <c r="AE24" s="67">
        <v>0</v>
      </c>
      <c r="AF24" s="67">
        <v>0</v>
      </c>
      <c r="AG24" s="67">
        <v>0</v>
      </c>
      <c r="AH24" s="64"/>
      <c r="AI24" s="20"/>
      <c r="AJ24" s="268">
        <f t="shared" si="3"/>
        <v>0</v>
      </c>
    </row>
    <row r="25" spans="1:36" s="21" customFormat="1" ht="24.75" customHeight="1" x14ac:dyDescent="0.25">
      <c r="A25" s="373"/>
      <c r="B25" s="411" t="s">
        <v>211</v>
      </c>
      <c r="C25" s="125" t="s">
        <v>20</v>
      </c>
      <c r="D25" s="70">
        <f>D27+D28+D26</f>
        <v>4869.8</v>
      </c>
      <c r="E25" s="58">
        <f t="shared" ref="E25:G25" si="16">E27+E28+E26</f>
        <v>1395.0217499999999</v>
      </c>
      <c r="F25" s="58">
        <f t="shared" si="16"/>
        <v>1394.54556</v>
      </c>
      <c r="G25" s="58">
        <f t="shared" si="16"/>
        <v>1392.3947200000002</v>
      </c>
      <c r="H25" s="58">
        <f t="shared" si="6"/>
        <v>28.592441578709604</v>
      </c>
      <c r="I25" s="58">
        <f t="shared" si="7"/>
        <v>99.811685373364284</v>
      </c>
      <c r="J25" s="58">
        <f t="shared" ref="J25:AG25" si="17">J27+J28+J26</f>
        <v>0</v>
      </c>
      <c r="K25" s="58">
        <f t="shared" si="17"/>
        <v>0</v>
      </c>
      <c r="L25" s="58">
        <f t="shared" si="17"/>
        <v>698.67533000000003</v>
      </c>
      <c r="M25" s="58">
        <f t="shared" si="17"/>
        <v>698.13587000000007</v>
      </c>
      <c r="N25" s="58">
        <f t="shared" si="17"/>
        <v>696.34642000000008</v>
      </c>
      <c r="O25" s="58">
        <f t="shared" si="17"/>
        <v>694.25885000000005</v>
      </c>
      <c r="P25" s="58">
        <f t="shared" si="17"/>
        <v>692.22602000000006</v>
      </c>
      <c r="Q25" s="58">
        <f t="shared" si="17"/>
        <v>0</v>
      </c>
      <c r="R25" s="58">
        <f t="shared" si="17"/>
        <v>698.67533000000003</v>
      </c>
      <c r="S25" s="58">
        <f t="shared" si="17"/>
        <v>0</v>
      </c>
      <c r="T25" s="58">
        <f t="shared" si="17"/>
        <v>0</v>
      </c>
      <c r="U25" s="58">
        <f t="shared" si="17"/>
        <v>0</v>
      </c>
      <c r="V25" s="58">
        <f t="shared" si="17"/>
        <v>0</v>
      </c>
      <c r="W25" s="58">
        <f t="shared" si="17"/>
        <v>0</v>
      </c>
      <c r="X25" s="58">
        <f t="shared" si="17"/>
        <v>0</v>
      </c>
      <c r="Y25" s="58">
        <f t="shared" si="17"/>
        <v>0</v>
      </c>
      <c r="Z25" s="58">
        <f t="shared" si="17"/>
        <v>692.22602000000006</v>
      </c>
      <c r="AA25" s="58">
        <f t="shared" si="17"/>
        <v>0</v>
      </c>
      <c r="AB25" s="58">
        <f t="shared" si="17"/>
        <v>690.41915999999992</v>
      </c>
      <c r="AC25" s="58">
        <f t="shared" si="17"/>
        <v>0</v>
      </c>
      <c r="AD25" s="58">
        <f t="shared" si="17"/>
        <v>701.23172</v>
      </c>
      <c r="AE25" s="58">
        <f t="shared" si="17"/>
        <v>0</v>
      </c>
      <c r="AF25" s="58">
        <f t="shared" si="17"/>
        <v>0</v>
      </c>
      <c r="AG25" s="58">
        <f t="shared" si="17"/>
        <v>0</v>
      </c>
      <c r="AH25" s="60"/>
      <c r="AI25" s="23"/>
      <c r="AJ25" s="268">
        <f t="shared" si="3"/>
        <v>2.6270299999996496</v>
      </c>
    </row>
    <row r="26" spans="1:36" s="21" customFormat="1" ht="42.75" hidden="1" customHeight="1" x14ac:dyDescent="0.25">
      <c r="A26" s="374"/>
      <c r="B26" s="412"/>
      <c r="C26" s="126" t="s">
        <v>52</v>
      </c>
      <c r="D26" s="74">
        <f>SUM(J26,L26,N26,P26,R26,T26,V26,X26,Z26,AB26,AD26,AF26)</f>
        <v>0</v>
      </c>
      <c r="E26" s="62">
        <f>J26</f>
        <v>0</v>
      </c>
      <c r="F26" s="62">
        <f>G26</f>
        <v>0</v>
      </c>
      <c r="G26" s="62">
        <f>SUM(K26,M26,O26,Q26,S26,U26,W26,Y26,AA26,AC26,AE26,AG26)</f>
        <v>0</v>
      </c>
      <c r="H26" s="62">
        <f t="shared" si="6"/>
        <v>0</v>
      </c>
      <c r="I26" s="62">
        <f t="shared" si="7"/>
        <v>0</v>
      </c>
      <c r="J26" s="62">
        <v>0</v>
      </c>
      <c r="K26" s="62">
        <v>0</v>
      </c>
      <c r="L26" s="62">
        <v>0</v>
      </c>
      <c r="M26" s="62">
        <v>0</v>
      </c>
      <c r="N26" s="62">
        <v>0</v>
      </c>
      <c r="O26" s="62">
        <v>0</v>
      </c>
      <c r="P26" s="62">
        <v>0</v>
      </c>
      <c r="Q26" s="62">
        <v>0</v>
      </c>
      <c r="R26" s="62">
        <v>0</v>
      </c>
      <c r="S26" s="62">
        <v>0</v>
      </c>
      <c r="T26" s="62">
        <v>0</v>
      </c>
      <c r="U26" s="62">
        <v>0</v>
      </c>
      <c r="V26" s="62">
        <v>0</v>
      </c>
      <c r="W26" s="62">
        <v>0</v>
      </c>
      <c r="X26" s="62">
        <v>0</v>
      </c>
      <c r="Y26" s="62">
        <v>0</v>
      </c>
      <c r="Z26" s="62">
        <v>0</v>
      </c>
      <c r="AA26" s="62">
        <v>0</v>
      </c>
      <c r="AB26" s="62">
        <v>0</v>
      </c>
      <c r="AC26" s="62">
        <v>0</v>
      </c>
      <c r="AD26" s="62">
        <v>0</v>
      </c>
      <c r="AE26" s="62">
        <v>0</v>
      </c>
      <c r="AF26" s="62">
        <v>0</v>
      </c>
      <c r="AG26" s="62">
        <v>0</v>
      </c>
      <c r="AH26" s="60"/>
      <c r="AI26" s="23"/>
      <c r="AJ26" s="268">
        <f t="shared" si="3"/>
        <v>0</v>
      </c>
    </row>
    <row r="27" spans="1:36" s="21" customFormat="1" ht="150.75" customHeight="1" x14ac:dyDescent="0.25">
      <c r="A27" s="374"/>
      <c r="B27" s="412"/>
      <c r="C27" s="126" t="s">
        <v>22</v>
      </c>
      <c r="D27" s="74">
        <f>SUM(J27,L27,N27,P27,R27,T27,V27,X27,Z27,AB27,AD27,AF27)</f>
        <v>1400</v>
      </c>
      <c r="E27" s="62">
        <f>J27+L27+N27</f>
        <v>400</v>
      </c>
      <c r="F27" s="62">
        <v>399.52381000000003</v>
      </c>
      <c r="G27" s="62">
        <f>SUM(K27,M27,O27,Q27,S27,U27,W27,Y27,AA27,AC27,AE27,AG27)</f>
        <v>399.52318000000002</v>
      </c>
      <c r="H27" s="62">
        <f t="shared" si="6"/>
        <v>28.537369999999999</v>
      </c>
      <c r="I27" s="62">
        <f t="shared" si="7"/>
        <v>99.880795000000006</v>
      </c>
      <c r="J27" s="63">
        <v>0</v>
      </c>
      <c r="K27" s="63">
        <v>0</v>
      </c>
      <c r="L27" s="63">
        <v>200</v>
      </c>
      <c r="M27" s="63">
        <v>200</v>
      </c>
      <c r="N27" s="63">
        <v>200</v>
      </c>
      <c r="O27" s="63">
        <v>199.52318</v>
      </c>
      <c r="P27" s="63">
        <v>200</v>
      </c>
      <c r="Q27" s="63">
        <v>0</v>
      </c>
      <c r="R27" s="63">
        <v>200</v>
      </c>
      <c r="S27" s="63">
        <v>0</v>
      </c>
      <c r="T27" s="63">
        <v>0</v>
      </c>
      <c r="U27" s="63">
        <v>0</v>
      </c>
      <c r="V27" s="63">
        <v>0</v>
      </c>
      <c r="W27" s="63">
        <v>0</v>
      </c>
      <c r="X27" s="63">
        <v>0</v>
      </c>
      <c r="Y27" s="63">
        <v>0</v>
      </c>
      <c r="Z27" s="63">
        <v>200</v>
      </c>
      <c r="AA27" s="63">
        <v>0</v>
      </c>
      <c r="AB27" s="63">
        <v>200</v>
      </c>
      <c r="AC27" s="63">
        <v>0</v>
      </c>
      <c r="AD27" s="63">
        <v>200</v>
      </c>
      <c r="AE27" s="63">
        <v>0</v>
      </c>
      <c r="AF27" s="63">
        <v>0</v>
      </c>
      <c r="AG27" s="63">
        <v>0</v>
      </c>
      <c r="AH27" s="284" t="s">
        <v>356</v>
      </c>
      <c r="AI27" s="23"/>
      <c r="AJ27" s="268">
        <f t="shared" si="3"/>
        <v>0.47681999999997515</v>
      </c>
    </row>
    <row r="28" spans="1:36" s="22" customFormat="1" ht="38.25" customHeight="1" x14ac:dyDescent="0.25">
      <c r="A28" s="375"/>
      <c r="B28" s="429"/>
      <c r="C28" s="126" t="s">
        <v>21</v>
      </c>
      <c r="D28" s="74">
        <f>SUM(J28,L28,N28,P28,R28,T28,V28,X28,Z28,AB28,AD28,AF28)</f>
        <v>3469.8</v>
      </c>
      <c r="E28" s="62">
        <f>J28+L28+N28</f>
        <v>995.02175</v>
      </c>
      <c r="F28" s="62">
        <f>E28</f>
        <v>995.02175</v>
      </c>
      <c r="G28" s="62">
        <f>SUM(K28,M28,O28,Q28,S28,U28,W28,Y28,AA28,AC28,AE28,AG28)</f>
        <v>992.8715400000001</v>
      </c>
      <c r="H28" s="62">
        <f t="shared" si="6"/>
        <v>28.614661940169462</v>
      </c>
      <c r="I28" s="62">
        <f t="shared" si="7"/>
        <v>99.78390321618599</v>
      </c>
      <c r="J28" s="67">
        <v>0</v>
      </c>
      <c r="K28" s="67">
        <v>0</v>
      </c>
      <c r="L28" s="67">
        <v>498.67532999999997</v>
      </c>
      <c r="M28" s="67">
        <v>498.13587000000001</v>
      </c>
      <c r="N28" s="67">
        <v>496.34642000000002</v>
      </c>
      <c r="O28" s="67">
        <v>494.73567000000003</v>
      </c>
      <c r="P28" s="67">
        <v>492.22602000000001</v>
      </c>
      <c r="Q28" s="67">
        <v>0</v>
      </c>
      <c r="R28" s="67">
        <v>498.67532999999997</v>
      </c>
      <c r="S28" s="67">
        <v>0</v>
      </c>
      <c r="T28" s="67">
        <v>0</v>
      </c>
      <c r="U28" s="67">
        <v>0</v>
      </c>
      <c r="V28" s="67">
        <v>0</v>
      </c>
      <c r="W28" s="67">
        <v>0</v>
      </c>
      <c r="X28" s="67">
        <v>0</v>
      </c>
      <c r="Y28" s="67">
        <v>0</v>
      </c>
      <c r="Z28" s="67">
        <v>492.22602000000001</v>
      </c>
      <c r="AA28" s="67">
        <v>0</v>
      </c>
      <c r="AB28" s="67">
        <v>490.41915999999998</v>
      </c>
      <c r="AC28" s="67">
        <v>0</v>
      </c>
      <c r="AD28" s="67">
        <v>501.23172</v>
      </c>
      <c r="AE28" s="67">
        <v>0</v>
      </c>
      <c r="AF28" s="67">
        <v>0</v>
      </c>
      <c r="AG28" s="67">
        <v>0</v>
      </c>
      <c r="AH28" s="64"/>
      <c r="AI28" s="20"/>
      <c r="AJ28" s="268">
        <f t="shared" si="3"/>
        <v>2.1502099999999018</v>
      </c>
    </row>
    <row r="29" spans="1:36" s="21" customFormat="1" ht="24.75" customHeight="1" x14ac:dyDescent="0.25">
      <c r="A29" s="373"/>
      <c r="B29" s="411" t="s">
        <v>212</v>
      </c>
      <c r="C29" s="125" t="s">
        <v>20</v>
      </c>
      <c r="D29" s="70">
        <f>D31+D32+D30</f>
        <v>2945.4</v>
      </c>
      <c r="E29" s="58">
        <f>E31+E32+E30</f>
        <v>0</v>
      </c>
      <c r="F29" s="58">
        <f>F31+F32+F30</f>
        <v>0</v>
      </c>
      <c r="G29" s="58">
        <f t="shared" ref="G29" si="18">G31+G32+G30</f>
        <v>0</v>
      </c>
      <c r="H29" s="58">
        <f t="shared" si="6"/>
        <v>0</v>
      </c>
      <c r="I29" s="58">
        <f t="shared" si="7"/>
        <v>0</v>
      </c>
      <c r="J29" s="58">
        <f t="shared" ref="J29:AG29" si="19">J31+J32+J30</f>
        <v>0</v>
      </c>
      <c r="K29" s="58">
        <f t="shared" si="19"/>
        <v>0</v>
      </c>
      <c r="L29" s="58">
        <f t="shared" si="19"/>
        <v>0</v>
      </c>
      <c r="M29" s="58">
        <f t="shared" si="19"/>
        <v>0</v>
      </c>
      <c r="N29" s="58">
        <f t="shared" si="19"/>
        <v>0</v>
      </c>
      <c r="O29" s="58">
        <f t="shared" si="19"/>
        <v>0</v>
      </c>
      <c r="P29" s="58">
        <f t="shared" si="19"/>
        <v>57.741889999999998</v>
      </c>
      <c r="Q29" s="58">
        <f t="shared" si="19"/>
        <v>0</v>
      </c>
      <c r="R29" s="58">
        <f t="shared" si="19"/>
        <v>0</v>
      </c>
      <c r="S29" s="58">
        <f t="shared" si="19"/>
        <v>0</v>
      </c>
      <c r="T29" s="58">
        <f t="shared" si="19"/>
        <v>1064.4231400000001</v>
      </c>
      <c r="U29" s="58">
        <f t="shared" si="19"/>
        <v>0</v>
      </c>
      <c r="V29" s="58">
        <f t="shared" si="19"/>
        <v>911.90625</v>
      </c>
      <c r="W29" s="58">
        <f t="shared" si="19"/>
        <v>0</v>
      </c>
      <c r="X29" s="58">
        <f t="shared" si="19"/>
        <v>911.32871999999998</v>
      </c>
      <c r="Y29" s="58">
        <f t="shared" si="19"/>
        <v>0</v>
      </c>
      <c r="Z29" s="58">
        <f t="shared" si="19"/>
        <v>0</v>
      </c>
      <c r="AA29" s="58">
        <f t="shared" si="19"/>
        <v>0</v>
      </c>
      <c r="AB29" s="58">
        <f t="shared" si="19"/>
        <v>0</v>
      </c>
      <c r="AC29" s="58">
        <f t="shared" si="19"/>
        <v>0</v>
      </c>
      <c r="AD29" s="58">
        <f t="shared" si="19"/>
        <v>0</v>
      </c>
      <c r="AE29" s="58">
        <f t="shared" si="19"/>
        <v>0</v>
      </c>
      <c r="AF29" s="58">
        <f t="shared" si="19"/>
        <v>0</v>
      </c>
      <c r="AG29" s="58">
        <f t="shared" si="19"/>
        <v>0</v>
      </c>
      <c r="AH29" s="60"/>
      <c r="AI29" s="23"/>
      <c r="AJ29" s="268">
        <f t="shared" si="3"/>
        <v>0</v>
      </c>
    </row>
    <row r="30" spans="1:36" s="21" customFormat="1" ht="42.75" hidden="1" customHeight="1" x14ac:dyDescent="0.25">
      <c r="A30" s="374"/>
      <c r="B30" s="412"/>
      <c r="C30" s="126" t="s">
        <v>52</v>
      </c>
      <c r="D30" s="74">
        <f>SUM(J30,L30,N30,P30,R30,T30,V30,X30,Z30,AB30,AD30,AF30)</f>
        <v>0</v>
      </c>
      <c r="E30" s="62">
        <f>J30</f>
        <v>0</v>
      </c>
      <c r="F30" s="62">
        <f>G30</f>
        <v>0</v>
      </c>
      <c r="G30" s="62">
        <f>SUM(K30,M30,O30,Q30,S30,U30,W30,Y30,AA30,AC30,AE30,AG30)</f>
        <v>0</v>
      </c>
      <c r="H30" s="62">
        <f t="shared" si="6"/>
        <v>0</v>
      </c>
      <c r="I30" s="62">
        <f t="shared" si="7"/>
        <v>0</v>
      </c>
      <c r="J30" s="62">
        <v>0</v>
      </c>
      <c r="K30" s="62">
        <v>0</v>
      </c>
      <c r="L30" s="62">
        <v>0</v>
      </c>
      <c r="M30" s="62">
        <v>0</v>
      </c>
      <c r="N30" s="62">
        <v>0</v>
      </c>
      <c r="O30" s="62">
        <v>0</v>
      </c>
      <c r="P30" s="62">
        <v>0</v>
      </c>
      <c r="Q30" s="62">
        <v>0</v>
      </c>
      <c r="R30" s="62">
        <v>0</v>
      </c>
      <c r="S30" s="62">
        <v>0</v>
      </c>
      <c r="T30" s="62">
        <v>0</v>
      </c>
      <c r="U30" s="62">
        <v>0</v>
      </c>
      <c r="V30" s="62">
        <v>0</v>
      </c>
      <c r="W30" s="62">
        <v>0</v>
      </c>
      <c r="X30" s="62">
        <v>0</v>
      </c>
      <c r="Y30" s="62">
        <v>0</v>
      </c>
      <c r="Z30" s="62">
        <v>0</v>
      </c>
      <c r="AA30" s="62">
        <v>0</v>
      </c>
      <c r="AB30" s="62">
        <v>0</v>
      </c>
      <c r="AC30" s="62">
        <v>0</v>
      </c>
      <c r="AD30" s="62">
        <v>0</v>
      </c>
      <c r="AE30" s="62">
        <v>0</v>
      </c>
      <c r="AF30" s="62">
        <v>0</v>
      </c>
      <c r="AG30" s="62">
        <v>0</v>
      </c>
      <c r="AH30" s="60"/>
      <c r="AI30" s="23"/>
      <c r="AJ30" s="268">
        <f t="shared" si="3"/>
        <v>0</v>
      </c>
    </row>
    <row r="31" spans="1:36" s="21" customFormat="1" ht="48" hidden="1" customHeight="1" x14ac:dyDescent="0.25">
      <c r="A31" s="374"/>
      <c r="B31" s="412"/>
      <c r="C31" s="126" t="s">
        <v>22</v>
      </c>
      <c r="D31" s="74">
        <f>SUM(J31,L31,N31,P31,R31,T31,V31,X31,Z31,AB31,AD31,AF31)</f>
        <v>0</v>
      </c>
      <c r="E31" s="62">
        <f>J31</f>
        <v>0</v>
      </c>
      <c r="F31" s="62">
        <f>G31</f>
        <v>0</v>
      </c>
      <c r="G31" s="62">
        <f>SUM(K31,M31,O31,Q31,S31,U31,W31,Y31,AA31,AC31,AE31,AG31)</f>
        <v>0</v>
      </c>
      <c r="H31" s="62">
        <f t="shared" si="6"/>
        <v>0</v>
      </c>
      <c r="I31" s="62">
        <f t="shared" si="7"/>
        <v>0</v>
      </c>
      <c r="J31" s="63">
        <v>0</v>
      </c>
      <c r="K31" s="63">
        <v>0</v>
      </c>
      <c r="L31" s="63">
        <v>0</v>
      </c>
      <c r="M31" s="63">
        <v>0</v>
      </c>
      <c r="N31" s="63">
        <v>0</v>
      </c>
      <c r="O31" s="63">
        <v>0</v>
      </c>
      <c r="P31" s="63">
        <v>0</v>
      </c>
      <c r="Q31" s="63">
        <v>0</v>
      </c>
      <c r="R31" s="63">
        <v>0</v>
      </c>
      <c r="S31" s="63">
        <v>0</v>
      </c>
      <c r="T31" s="63">
        <v>0</v>
      </c>
      <c r="U31" s="63">
        <v>0</v>
      </c>
      <c r="V31" s="63">
        <v>0</v>
      </c>
      <c r="W31" s="63">
        <v>0</v>
      </c>
      <c r="X31" s="63">
        <v>0</v>
      </c>
      <c r="Y31" s="63">
        <v>0</v>
      </c>
      <c r="Z31" s="63">
        <v>0</v>
      </c>
      <c r="AA31" s="63">
        <v>0</v>
      </c>
      <c r="AB31" s="63">
        <v>0</v>
      </c>
      <c r="AC31" s="63">
        <v>0</v>
      </c>
      <c r="AD31" s="63">
        <v>0</v>
      </c>
      <c r="AE31" s="63">
        <v>0</v>
      </c>
      <c r="AF31" s="63">
        <v>0</v>
      </c>
      <c r="AG31" s="63">
        <v>0</v>
      </c>
      <c r="AH31" s="63">
        <v>0</v>
      </c>
      <c r="AI31" s="23"/>
      <c r="AJ31" s="268">
        <f t="shared" si="3"/>
        <v>0</v>
      </c>
    </row>
    <row r="32" spans="1:36" s="22" customFormat="1" ht="61.5" customHeight="1" x14ac:dyDescent="0.25">
      <c r="A32" s="375"/>
      <c r="B32" s="429"/>
      <c r="C32" s="126" t="s">
        <v>21</v>
      </c>
      <c r="D32" s="74">
        <f>SUM(J32,L32,N32,P32,R32,T32,V32,X32,Z32,AB32,AD32,AF32)</f>
        <v>2945.4</v>
      </c>
      <c r="E32" s="62">
        <f>J32+L32+N32</f>
        <v>0</v>
      </c>
      <c r="F32" s="62">
        <f>E32</f>
        <v>0</v>
      </c>
      <c r="G32" s="62">
        <f>SUM(K32,M32,O32,Q32,S32,U32,W32,Y32,AA32,AC32,AE32,AG32)</f>
        <v>0</v>
      </c>
      <c r="H32" s="62">
        <f t="shared" si="6"/>
        <v>0</v>
      </c>
      <c r="I32" s="62">
        <f t="shared" si="7"/>
        <v>0</v>
      </c>
      <c r="J32" s="67">
        <v>0</v>
      </c>
      <c r="K32" s="67">
        <v>0</v>
      </c>
      <c r="L32" s="67">
        <v>0</v>
      </c>
      <c r="M32" s="67">
        <v>0</v>
      </c>
      <c r="N32" s="67">
        <v>0</v>
      </c>
      <c r="O32" s="67">
        <v>0</v>
      </c>
      <c r="P32" s="67">
        <v>57.741889999999998</v>
      </c>
      <c r="Q32" s="67">
        <v>0</v>
      </c>
      <c r="R32" s="67">
        <v>0</v>
      </c>
      <c r="S32" s="67">
        <v>0</v>
      </c>
      <c r="T32" s="67">
        <v>1064.4231400000001</v>
      </c>
      <c r="U32" s="67">
        <v>0</v>
      </c>
      <c r="V32" s="67">
        <v>911.90625</v>
      </c>
      <c r="W32" s="67">
        <v>0</v>
      </c>
      <c r="X32" s="67">
        <v>911.32871999999998</v>
      </c>
      <c r="Y32" s="67">
        <v>0</v>
      </c>
      <c r="Z32" s="67">
        <v>0</v>
      </c>
      <c r="AA32" s="67">
        <v>0</v>
      </c>
      <c r="AB32" s="67">
        <v>0</v>
      </c>
      <c r="AC32" s="67">
        <v>0</v>
      </c>
      <c r="AD32" s="67">
        <v>0</v>
      </c>
      <c r="AE32" s="67">
        <v>0</v>
      </c>
      <c r="AF32" s="67">
        <v>0</v>
      </c>
      <c r="AG32" s="67">
        <v>0</v>
      </c>
      <c r="AH32" s="64"/>
      <c r="AI32" s="20"/>
      <c r="AJ32" s="268">
        <f t="shared" si="3"/>
        <v>0</v>
      </c>
    </row>
    <row r="33" spans="1:36" s="21" customFormat="1" ht="36.75" customHeight="1" x14ac:dyDescent="0.25">
      <c r="A33" s="387"/>
      <c r="B33" s="411" t="s">
        <v>213</v>
      </c>
      <c r="C33" s="125" t="s">
        <v>20</v>
      </c>
      <c r="D33" s="70">
        <f>D35+D36+D34</f>
        <v>100</v>
      </c>
      <c r="E33" s="58">
        <f>E35+E36+E34</f>
        <v>0</v>
      </c>
      <c r="F33" s="58">
        <f>F35+F36+F34</f>
        <v>0</v>
      </c>
      <c r="G33" s="58">
        <f t="shared" ref="G33" si="20">G35+G36+G34</f>
        <v>0</v>
      </c>
      <c r="H33" s="58">
        <f t="shared" si="6"/>
        <v>0</v>
      </c>
      <c r="I33" s="58">
        <f t="shared" si="7"/>
        <v>0</v>
      </c>
      <c r="J33" s="58">
        <f t="shared" ref="J33:AG33" si="21">J35+J36+J34</f>
        <v>0</v>
      </c>
      <c r="K33" s="58">
        <f t="shared" si="21"/>
        <v>0</v>
      </c>
      <c r="L33" s="58">
        <f t="shared" si="21"/>
        <v>0</v>
      </c>
      <c r="M33" s="58">
        <f t="shared" si="21"/>
        <v>0</v>
      </c>
      <c r="N33" s="58">
        <f t="shared" si="21"/>
        <v>0</v>
      </c>
      <c r="O33" s="58">
        <f t="shared" si="21"/>
        <v>0</v>
      </c>
      <c r="P33" s="58">
        <f t="shared" si="21"/>
        <v>0</v>
      </c>
      <c r="Q33" s="58">
        <f t="shared" si="21"/>
        <v>0</v>
      </c>
      <c r="R33" s="58">
        <f t="shared" si="21"/>
        <v>0</v>
      </c>
      <c r="S33" s="58">
        <f t="shared" si="21"/>
        <v>0</v>
      </c>
      <c r="T33" s="58">
        <f t="shared" si="21"/>
        <v>0</v>
      </c>
      <c r="U33" s="58">
        <f t="shared" si="21"/>
        <v>0</v>
      </c>
      <c r="V33" s="58">
        <f t="shared" si="21"/>
        <v>0</v>
      </c>
      <c r="W33" s="58">
        <f t="shared" si="21"/>
        <v>0</v>
      </c>
      <c r="X33" s="58">
        <f t="shared" si="21"/>
        <v>0</v>
      </c>
      <c r="Y33" s="58">
        <f t="shared" si="21"/>
        <v>0</v>
      </c>
      <c r="Z33" s="58">
        <f t="shared" si="21"/>
        <v>0</v>
      </c>
      <c r="AA33" s="58">
        <f t="shared" si="21"/>
        <v>0</v>
      </c>
      <c r="AB33" s="58">
        <f t="shared" si="21"/>
        <v>0</v>
      </c>
      <c r="AC33" s="58">
        <f t="shared" si="21"/>
        <v>0</v>
      </c>
      <c r="AD33" s="58">
        <f t="shared" si="21"/>
        <v>0</v>
      </c>
      <c r="AE33" s="58">
        <f t="shared" si="21"/>
        <v>0</v>
      </c>
      <c r="AF33" s="58">
        <f t="shared" si="21"/>
        <v>100</v>
      </c>
      <c r="AG33" s="58">
        <f t="shared" si="21"/>
        <v>0</v>
      </c>
      <c r="AH33" s="60"/>
      <c r="AI33" s="23"/>
      <c r="AJ33" s="268">
        <f t="shared" si="3"/>
        <v>0</v>
      </c>
    </row>
    <row r="34" spans="1:36" s="21" customFormat="1" ht="42.75" hidden="1" customHeight="1" x14ac:dyDescent="0.25">
      <c r="A34" s="383"/>
      <c r="B34" s="412"/>
      <c r="C34" s="126" t="s">
        <v>52</v>
      </c>
      <c r="D34" s="74">
        <f>SUM(J34,L34,N34,P34,R34,T34,V34,X34,Z34,AB34,AD34,AF34)</f>
        <v>0</v>
      </c>
      <c r="E34" s="62">
        <f>J34</f>
        <v>0</v>
      </c>
      <c r="F34" s="62">
        <f>G34</f>
        <v>0</v>
      </c>
      <c r="G34" s="62">
        <f>SUM(K34,M34,O34,Q34,S34,U34,W34,Y34,AA34,AC34,AE34,AG34)</f>
        <v>0</v>
      </c>
      <c r="H34" s="62">
        <f t="shared" si="6"/>
        <v>0</v>
      </c>
      <c r="I34" s="62">
        <f t="shared" si="7"/>
        <v>0</v>
      </c>
      <c r="J34" s="62">
        <v>0</v>
      </c>
      <c r="K34" s="62">
        <v>0</v>
      </c>
      <c r="L34" s="62">
        <v>0</v>
      </c>
      <c r="M34" s="62">
        <v>0</v>
      </c>
      <c r="N34" s="62">
        <v>0</v>
      </c>
      <c r="O34" s="62">
        <v>0</v>
      </c>
      <c r="P34" s="62">
        <v>0</v>
      </c>
      <c r="Q34" s="62">
        <v>0</v>
      </c>
      <c r="R34" s="62">
        <v>0</v>
      </c>
      <c r="S34" s="62">
        <v>0</v>
      </c>
      <c r="T34" s="62">
        <v>0</v>
      </c>
      <c r="U34" s="62">
        <v>0</v>
      </c>
      <c r="V34" s="62">
        <v>0</v>
      </c>
      <c r="W34" s="62">
        <v>0</v>
      </c>
      <c r="X34" s="62">
        <v>0</v>
      </c>
      <c r="Y34" s="62">
        <v>0</v>
      </c>
      <c r="Z34" s="62">
        <v>0</v>
      </c>
      <c r="AA34" s="62">
        <v>0</v>
      </c>
      <c r="AB34" s="62">
        <v>0</v>
      </c>
      <c r="AC34" s="62">
        <v>0</v>
      </c>
      <c r="AD34" s="62">
        <v>0</v>
      </c>
      <c r="AE34" s="62">
        <v>0</v>
      </c>
      <c r="AF34" s="62">
        <v>0</v>
      </c>
      <c r="AG34" s="62">
        <v>0</v>
      </c>
      <c r="AH34" s="60"/>
      <c r="AI34" s="23"/>
      <c r="AJ34" s="268">
        <f t="shared" si="3"/>
        <v>0</v>
      </c>
    </row>
    <row r="35" spans="1:36" s="21" customFormat="1" ht="97.5" customHeight="1" x14ac:dyDescent="0.25">
      <c r="A35" s="383"/>
      <c r="B35" s="412"/>
      <c r="C35" s="126" t="s">
        <v>22</v>
      </c>
      <c r="D35" s="74">
        <f>SUM(J35,L35,N35,P35,R35,T35,V35,X35,Z35,AB35,AD35,AF35)</f>
        <v>100</v>
      </c>
      <c r="E35" s="62">
        <f>J35+L35+N35</f>
        <v>0</v>
      </c>
      <c r="F35" s="62">
        <f>G35</f>
        <v>0</v>
      </c>
      <c r="G35" s="62">
        <f>SUM(K35,M35,O35,Q35,S35,U35,W35,Y35,AA35,AC35,AE35,AG35)</f>
        <v>0</v>
      </c>
      <c r="H35" s="62">
        <f t="shared" si="6"/>
        <v>0</v>
      </c>
      <c r="I35" s="62">
        <f t="shared" si="7"/>
        <v>0</v>
      </c>
      <c r="J35" s="63">
        <v>0</v>
      </c>
      <c r="K35" s="63">
        <v>0</v>
      </c>
      <c r="L35" s="63">
        <v>0</v>
      </c>
      <c r="M35" s="63">
        <v>0</v>
      </c>
      <c r="N35" s="63">
        <v>0</v>
      </c>
      <c r="O35" s="63">
        <v>0</v>
      </c>
      <c r="P35" s="63">
        <v>0</v>
      </c>
      <c r="Q35" s="63">
        <v>0</v>
      </c>
      <c r="R35" s="63">
        <v>0</v>
      </c>
      <c r="S35" s="63">
        <v>0</v>
      </c>
      <c r="T35" s="63">
        <v>0</v>
      </c>
      <c r="U35" s="63">
        <v>0</v>
      </c>
      <c r="V35" s="63">
        <v>0</v>
      </c>
      <c r="W35" s="63">
        <v>0</v>
      </c>
      <c r="X35" s="63">
        <v>0</v>
      </c>
      <c r="Y35" s="63">
        <v>0</v>
      </c>
      <c r="Z35" s="63">
        <v>0</v>
      </c>
      <c r="AA35" s="63">
        <v>0</v>
      </c>
      <c r="AB35" s="63">
        <v>0</v>
      </c>
      <c r="AC35" s="63">
        <v>0</v>
      </c>
      <c r="AD35" s="63">
        <v>0</v>
      </c>
      <c r="AE35" s="63">
        <v>0</v>
      </c>
      <c r="AF35" s="63">
        <v>100</v>
      </c>
      <c r="AG35" s="63">
        <v>0</v>
      </c>
      <c r="AH35" s="63"/>
      <c r="AI35" s="23"/>
      <c r="AJ35" s="268">
        <f t="shared" si="3"/>
        <v>0</v>
      </c>
    </row>
    <row r="36" spans="1:36" s="22" customFormat="1" ht="64.5" hidden="1" customHeight="1" x14ac:dyDescent="0.25">
      <c r="A36" s="388"/>
      <c r="B36" s="429"/>
      <c r="C36" s="140" t="s">
        <v>21</v>
      </c>
      <c r="D36" s="141">
        <f>SUM(J36,L36,N36,P36,R36,T36,V36,X36,Z36,AB36,AD36,AF36)</f>
        <v>0</v>
      </c>
      <c r="E36" s="142">
        <f>J36</f>
        <v>0</v>
      </c>
      <c r="F36" s="142">
        <f>G36</f>
        <v>0</v>
      </c>
      <c r="G36" s="142">
        <f>SUM(K36,M36,O36,Q36,S36,U36,W36,Y36,AA36,AC36,AE36,AG36)</f>
        <v>0</v>
      </c>
      <c r="H36" s="142">
        <f t="shared" si="6"/>
        <v>0</v>
      </c>
      <c r="I36" s="142">
        <f t="shared" si="7"/>
        <v>0</v>
      </c>
      <c r="J36" s="143">
        <v>0</v>
      </c>
      <c r="K36" s="143">
        <v>0</v>
      </c>
      <c r="L36" s="143">
        <v>0</v>
      </c>
      <c r="M36" s="143">
        <v>0</v>
      </c>
      <c r="N36" s="143">
        <v>0</v>
      </c>
      <c r="O36" s="143">
        <v>0</v>
      </c>
      <c r="P36" s="143">
        <v>0</v>
      </c>
      <c r="Q36" s="143">
        <v>0</v>
      </c>
      <c r="R36" s="143">
        <v>0</v>
      </c>
      <c r="S36" s="143">
        <v>0</v>
      </c>
      <c r="T36" s="143">
        <v>0</v>
      </c>
      <c r="U36" s="143">
        <v>0</v>
      </c>
      <c r="V36" s="143">
        <v>0</v>
      </c>
      <c r="W36" s="143">
        <v>0</v>
      </c>
      <c r="X36" s="143">
        <v>0</v>
      </c>
      <c r="Y36" s="143">
        <v>0</v>
      </c>
      <c r="Z36" s="143">
        <v>0</v>
      </c>
      <c r="AA36" s="143">
        <v>0</v>
      </c>
      <c r="AB36" s="143">
        <v>0</v>
      </c>
      <c r="AC36" s="143">
        <v>0</v>
      </c>
      <c r="AD36" s="143">
        <v>0</v>
      </c>
      <c r="AE36" s="143">
        <v>0</v>
      </c>
      <c r="AF36" s="143">
        <v>0</v>
      </c>
      <c r="AG36" s="143">
        <v>0</v>
      </c>
      <c r="AH36" s="46"/>
      <c r="AI36" s="20"/>
    </row>
    <row r="37" spans="1:36" s="22" customFormat="1" ht="31.5" customHeight="1" x14ac:dyDescent="0.25">
      <c r="A37" s="115"/>
      <c r="B37" s="370" t="s">
        <v>214</v>
      </c>
      <c r="C37" s="371"/>
      <c r="D37" s="371"/>
      <c r="E37" s="371"/>
      <c r="F37" s="371"/>
      <c r="G37" s="371"/>
      <c r="H37" s="371"/>
      <c r="I37" s="371"/>
      <c r="J37" s="371"/>
      <c r="K37" s="371"/>
      <c r="L37" s="371"/>
      <c r="M37" s="371"/>
      <c r="N37" s="371"/>
      <c r="O37" s="371"/>
      <c r="P37" s="371"/>
      <c r="Q37" s="371"/>
      <c r="R37" s="371"/>
      <c r="S37" s="371"/>
      <c r="T37" s="371"/>
      <c r="U37" s="371"/>
      <c r="V37" s="371"/>
      <c r="W37" s="371"/>
      <c r="X37" s="371"/>
      <c r="Y37" s="371"/>
      <c r="Z37" s="371"/>
      <c r="AA37" s="371"/>
      <c r="AB37" s="371"/>
      <c r="AC37" s="371"/>
      <c r="AD37" s="371"/>
      <c r="AE37" s="371"/>
      <c r="AF37" s="371"/>
      <c r="AG37" s="372"/>
      <c r="AH37" s="46"/>
      <c r="AI37" s="20"/>
    </row>
    <row r="38" spans="1:36" s="21" customFormat="1" ht="23.25" customHeight="1" x14ac:dyDescent="0.25">
      <c r="A38" s="373" t="s">
        <v>38</v>
      </c>
      <c r="B38" s="409" t="s">
        <v>215</v>
      </c>
      <c r="C38" s="125" t="s">
        <v>20</v>
      </c>
      <c r="D38" s="70">
        <f>D40+D41+D39</f>
        <v>4122.5996999999998</v>
      </c>
      <c r="E38" s="58">
        <f t="shared" ref="E38:G38" si="22">E40+E41+E39</f>
        <v>996.93451000000005</v>
      </c>
      <c r="F38" s="58">
        <f t="shared" si="22"/>
        <v>867.26242999999999</v>
      </c>
      <c r="G38" s="58">
        <f t="shared" si="22"/>
        <v>867.26279</v>
      </c>
      <c r="H38" s="58">
        <f t="shared" ref="H38:H49" si="23">IFERROR(G38/D38*100,0)</f>
        <v>21.036793603802963</v>
      </c>
      <c r="I38" s="58">
        <f t="shared" ref="I38:I49" si="24">IFERROR(G38/E38*100,0)</f>
        <v>86.992955033726332</v>
      </c>
      <c r="J38" s="58">
        <f t="shared" ref="J38:AG38" si="25">J40+J41+J39</f>
        <v>433.23651000000001</v>
      </c>
      <c r="K38" s="58">
        <f t="shared" si="25"/>
        <v>260.55279000000002</v>
      </c>
      <c r="L38" s="58">
        <f t="shared" si="25"/>
        <v>308.48899999999998</v>
      </c>
      <c r="M38" s="58">
        <f t="shared" si="25"/>
        <v>389.49</v>
      </c>
      <c r="N38" s="58">
        <f t="shared" si="25"/>
        <v>255.209</v>
      </c>
      <c r="O38" s="58">
        <f t="shared" si="25"/>
        <v>217.22</v>
      </c>
      <c r="P38" s="58">
        <f t="shared" si="25"/>
        <v>424.51098000000002</v>
      </c>
      <c r="Q38" s="58">
        <f t="shared" si="25"/>
        <v>0</v>
      </c>
      <c r="R38" s="58">
        <f t="shared" si="25"/>
        <v>324.16199999999998</v>
      </c>
      <c r="S38" s="58">
        <f t="shared" si="25"/>
        <v>0</v>
      </c>
      <c r="T38" s="58">
        <f t="shared" si="25"/>
        <v>322.65899999999999</v>
      </c>
      <c r="U38" s="58">
        <f t="shared" si="25"/>
        <v>0</v>
      </c>
      <c r="V38" s="58">
        <f t="shared" si="25"/>
        <v>477.26431000000002</v>
      </c>
      <c r="W38" s="58">
        <f t="shared" si="25"/>
        <v>0</v>
      </c>
      <c r="X38" s="58">
        <f t="shared" si="25"/>
        <v>316.54500000000002</v>
      </c>
      <c r="Y38" s="58">
        <f t="shared" si="25"/>
        <v>0</v>
      </c>
      <c r="Z38" s="58">
        <f t="shared" si="25"/>
        <v>248.209</v>
      </c>
      <c r="AA38" s="58">
        <f t="shared" si="25"/>
        <v>0</v>
      </c>
      <c r="AB38" s="58">
        <f t="shared" si="25"/>
        <v>276.16000000000003</v>
      </c>
      <c r="AC38" s="58">
        <f t="shared" si="25"/>
        <v>0</v>
      </c>
      <c r="AD38" s="58">
        <f t="shared" si="25"/>
        <v>248.15299999999999</v>
      </c>
      <c r="AE38" s="58">
        <f t="shared" si="25"/>
        <v>0</v>
      </c>
      <c r="AF38" s="58">
        <f t="shared" si="25"/>
        <v>488.00189999999998</v>
      </c>
      <c r="AG38" s="58">
        <f t="shared" si="25"/>
        <v>0</v>
      </c>
      <c r="AH38" s="60"/>
      <c r="AI38" s="23"/>
      <c r="AJ38" s="163">
        <f t="shared" ref="AJ38:AJ49" si="26">E38-G38</f>
        <v>129.67172000000005</v>
      </c>
    </row>
    <row r="39" spans="1:36" s="21" customFormat="1" ht="32.25" hidden="1" customHeight="1" x14ac:dyDescent="0.25">
      <c r="A39" s="374"/>
      <c r="B39" s="430"/>
      <c r="C39" s="126" t="s">
        <v>52</v>
      </c>
      <c r="D39" s="74">
        <f>SUM(J39,L39,N39,P39,R39,T39,V39,X39,Z39,AB39,AD39,AF39)</f>
        <v>0</v>
      </c>
      <c r="E39" s="62">
        <f>J39</f>
        <v>0</v>
      </c>
      <c r="F39" s="62">
        <f>G39</f>
        <v>0</v>
      </c>
      <c r="G39" s="62">
        <f>SUM(K39,M39,O39,Q39,S39,U39,W39,Y39,AA39,AC39,AE39,AG39)</f>
        <v>0</v>
      </c>
      <c r="H39" s="62">
        <f t="shared" si="23"/>
        <v>0</v>
      </c>
      <c r="I39" s="62">
        <f t="shared" si="24"/>
        <v>0</v>
      </c>
      <c r="J39" s="62">
        <f>J43</f>
        <v>0</v>
      </c>
      <c r="K39" s="62">
        <f t="shared" ref="K39:AG40" si="27">K43</f>
        <v>0</v>
      </c>
      <c r="L39" s="62">
        <f t="shared" si="27"/>
        <v>0</v>
      </c>
      <c r="M39" s="62">
        <f t="shared" si="27"/>
        <v>0</v>
      </c>
      <c r="N39" s="62">
        <f t="shared" si="27"/>
        <v>0</v>
      </c>
      <c r="O39" s="62">
        <f t="shared" si="27"/>
        <v>0</v>
      </c>
      <c r="P39" s="62">
        <f t="shared" si="27"/>
        <v>0</v>
      </c>
      <c r="Q39" s="62">
        <f t="shared" si="27"/>
        <v>0</v>
      </c>
      <c r="R39" s="62">
        <f t="shared" si="27"/>
        <v>0</v>
      </c>
      <c r="S39" s="62">
        <f t="shared" si="27"/>
        <v>0</v>
      </c>
      <c r="T39" s="62">
        <f t="shared" si="27"/>
        <v>0</v>
      </c>
      <c r="U39" s="62">
        <f t="shared" si="27"/>
        <v>0</v>
      </c>
      <c r="V39" s="62">
        <f t="shared" si="27"/>
        <v>0</v>
      </c>
      <c r="W39" s="62">
        <f t="shared" si="27"/>
        <v>0</v>
      </c>
      <c r="X39" s="62">
        <f t="shared" si="27"/>
        <v>0</v>
      </c>
      <c r="Y39" s="62">
        <f t="shared" si="27"/>
        <v>0</v>
      </c>
      <c r="Z39" s="62">
        <f t="shared" si="27"/>
        <v>0</v>
      </c>
      <c r="AA39" s="62">
        <f t="shared" si="27"/>
        <v>0</v>
      </c>
      <c r="AB39" s="62">
        <f t="shared" si="27"/>
        <v>0</v>
      </c>
      <c r="AC39" s="62">
        <f t="shared" si="27"/>
        <v>0</v>
      </c>
      <c r="AD39" s="62">
        <f t="shared" si="27"/>
        <v>0</v>
      </c>
      <c r="AE39" s="62">
        <f t="shared" si="27"/>
        <v>0</v>
      </c>
      <c r="AF39" s="62">
        <f t="shared" si="27"/>
        <v>0</v>
      </c>
      <c r="AG39" s="62">
        <f t="shared" si="27"/>
        <v>0</v>
      </c>
      <c r="AH39" s="60"/>
      <c r="AI39" s="23"/>
      <c r="AJ39" s="163">
        <f t="shared" si="26"/>
        <v>0</v>
      </c>
    </row>
    <row r="40" spans="1:36" s="21" customFormat="1" ht="37.5" customHeight="1" x14ac:dyDescent="0.25">
      <c r="A40" s="374"/>
      <c r="B40" s="430"/>
      <c r="C40" s="126" t="s">
        <v>22</v>
      </c>
      <c r="D40" s="62">
        <f>D44</f>
        <v>4100.5996999999998</v>
      </c>
      <c r="E40" s="62">
        <f>E44</f>
        <v>996.93451000000005</v>
      </c>
      <c r="F40" s="62">
        <f>F44</f>
        <v>867.26242999999999</v>
      </c>
      <c r="G40" s="62">
        <f>SUM(K40,M40,O40,Q40,S40,U40,W40,Y40,AA40,AC40,AE40,AG40)</f>
        <v>867.26279</v>
      </c>
      <c r="H40" s="62">
        <f t="shared" si="23"/>
        <v>21.149657451323524</v>
      </c>
      <c r="I40" s="62">
        <f t="shared" si="24"/>
        <v>86.992955033726332</v>
      </c>
      <c r="J40" s="63">
        <f>J44</f>
        <v>433.23651000000001</v>
      </c>
      <c r="K40" s="63">
        <f t="shared" si="27"/>
        <v>260.55279000000002</v>
      </c>
      <c r="L40" s="63">
        <f t="shared" si="27"/>
        <v>308.48899999999998</v>
      </c>
      <c r="M40" s="63">
        <f t="shared" si="27"/>
        <v>389.49</v>
      </c>
      <c r="N40" s="63">
        <f t="shared" si="27"/>
        <v>255.209</v>
      </c>
      <c r="O40" s="63">
        <f t="shared" si="27"/>
        <v>217.22</v>
      </c>
      <c r="P40" s="63">
        <f t="shared" si="27"/>
        <v>424.51098000000002</v>
      </c>
      <c r="Q40" s="63">
        <f t="shared" si="27"/>
        <v>0</v>
      </c>
      <c r="R40" s="63">
        <f t="shared" si="27"/>
        <v>302.16199999999998</v>
      </c>
      <c r="S40" s="63">
        <f t="shared" si="27"/>
        <v>0</v>
      </c>
      <c r="T40" s="63">
        <f t="shared" si="27"/>
        <v>322.65899999999999</v>
      </c>
      <c r="U40" s="63">
        <f t="shared" si="27"/>
        <v>0</v>
      </c>
      <c r="V40" s="63">
        <f t="shared" si="27"/>
        <v>477.26431000000002</v>
      </c>
      <c r="W40" s="63">
        <f t="shared" si="27"/>
        <v>0</v>
      </c>
      <c r="X40" s="63">
        <f t="shared" si="27"/>
        <v>316.54500000000002</v>
      </c>
      <c r="Y40" s="63">
        <f t="shared" si="27"/>
        <v>0</v>
      </c>
      <c r="Z40" s="63">
        <f t="shared" si="27"/>
        <v>248.209</v>
      </c>
      <c r="AA40" s="63">
        <f t="shared" si="27"/>
        <v>0</v>
      </c>
      <c r="AB40" s="63">
        <f t="shared" si="27"/>
        <v>276.16000000000003</v>
      </c>
      <c r="AC40" s="63">
        <f t="shared" si="27"/>
        <v>0</v>
      </c>
      <c r="AD40" s="63">
        <f t="shared" si="27"/>
        <v>248.15299999999999</v>
      </c>
      <c r="AE40" s="63">
        <f t="shared" si="27"/>
        <v>0</v>
      </c>
      <c r="AF40" s="63">
        <f t="shared" si="27"/>
        <v>488.00189999999998</v>
      </c>
      <c r="AG40" s="63">
        <f t="shared" si="27"/>
        <v>0</v>
      </c>
      <c r="AH40" s="60"/>
      <c r="AI40" s="23"/>
      <c r="AJ40" s="163">
        <f t="shared" si="26"/>
        <v>129.67172000000005</v>
      </c>
    </row>
    <row r="41" spans="1:36" s="22" customFormat="1" ht="33" customHeight="1" x14ac:dyDescent="0.25">
      <c r="A41" s="374"/>
      <c r="B41" s="410"/>
      <c r="C41" s="126" t="s">
        <v>21</v>
      </c>
      <c r="D41" s="62">
        <f>D49+D45</f>
        <v>22</v>
      </c>
      <c r="E41" s="62">
        <f>E49+E45</f>
        <v>0</v>
      </c>
      <c r="F41" s="62">
        <f>F49+F45</f>
        <v>0</v>
      </c>
      <c r="G41" s="62">
        <f>SUM(K41,M41,O41,Q41,S41,U41,W41,Y41,AA41,AC41,AE41,AG41)</f>
        <v>0</v>
      </c>
      <c r="H41" s="62">
        <f t="shared" si="23"/>
        <v>0</v>
      </c>
      <c r="I41" s="62">
        <f t="shared" si="24"/>
        <v>0</v>
      </c>
      <c r="J41" s="67">
        <f>J49</f>
        <v>0</v>
      </c>
      <c r="K41" s="67">
        <f t="shared" ref="K41:AG41" si="28">K49</f>
        <v>0</v>
      </c>
      <c r="L41" s="67">
        <f t="shared" si="28"/>
        <v>0</v>
      </c>
      <c r="M41" s="67">
        <f t="shared" si="28"/>
        <v>0</v>
      </c>
      <c r="N41" s="67">
        <f t="shared" si="28"/>
        <v>0</v>
      </c>
      <c r="O41" s="67">
        <f t="shared" si="28"/>
        <v>0</v>
      </c>
      <c r="P41" s="67">
        <f t="shared" si="28"/>
        <v>0</v>
      </c>
      <c r="Q41" s="67">
        <f t="shared" si="28"/>
        <v>0</v>
      </c>
      <c r="R41" s="67">
        <f t="shared" si="28"/>
        <v>22</v>
      </c>
      <c r="S41" s="67">
        <f t="shared" si="28"/>
        <v>0</v>
      </c>
      <c r="T41" s="67">
        <f t="shared" si="28"/>
        <v>0</v>
      </c>
      <c r="U41" s="67">
        <f t="shared" si="28"/>
        <v>0</v>
      </c>
      <c r="V41" s="67">
        <f t="shared" si="28"/>
        <v>0</v>
      </c>
      <c r="W41" s="67">
        <f t="shared" si="28"/>
        <v>0</v>
      </c>
      <c r="X41" s="67">
        <f t="shared" si="28"/>
        <v>0</v>
      </c>
      <c r="Y41" s="67">
        <f t="shared" si="28"/>
        <v>0</v>
      </c>
      <c r="Z41" s="67">
        <f t="shared" si="28"/>
        <v>0</v>
      </c>
      <c r="AA41" s="67">
        <f t="shared" si="28"/>
        <v>0</v>
      </c>
      <c r="AB41" s="67">
        <f t="shared" si="28"/>
        <v>0</v>
      </c>
      <c r="AC41" s="67">
        <f t="shared" si="28"/>
        <v>0</v>
      </c>
      <c r="AD41" s="67">
        <f t="shared" si="28"/>
        <v>0</v>
      </c>
      <c r="AE41" s="67">
        <f t="shared" si="28"/>
        <v>0</v>
      </c>
      <c r="AF41" s="67">
        <f t="shared" si="28"/>
        <v>0</v>
      </c>
      <c r="AG41" s="67">
        <f t="shared" si="28"/>
        <v>0</v>
      </c>
      <c r="AH41" s="64"/>
      <c r="AI41" s="20"/>
      <c r="AJ41" s="163">
        <f t="shared" si="26"/>
        <v>0</v>
      </c>
    </row>
    <row r="42" spans="1:36" s="21" customFormat="1" ht="55.5" customHeight="1" x14ac:dyDescent="0.25">
      <c r="A42" s="127"/>
      <c r="B42" s="411" t="s">
        <v>216</v>
      </c>
      <c r="C42" s="125" t="s">
        <v>20</v>
      </c>
      <c r="D42" s="70">
        <f>D44+D45+D43</f>
        <v>4100.5996999999998</v>
      </c>
      <c r="E42" s="58">
        <f t="shared" ref="E42:G42" si="29">E44+E45+E43</f>
        <v>996.93451000000005</v>
      </c>
      <c r="F42" s="58">
        <f t="shared" si="29"/>
        <v>867.26242999999999</v>
      </c>
      <c r="G42" s="58">
        <f t="shared" si="29"/>
        <v>867.26279</v>
      </c>
      <c r="H42" s="58">
        <f t="shared" si="23"/>
        <v>21.149657451323524</v>
      </c>
      <c r="I42" s="58">
        <f t="shared" si="24"/>
        <v>86.992955033726332</v>
      </c>
      <c r="J42" s="58">
        <f t="shared" ref="J42:AG42" si="30">J44+J45+J43</f>
        <v>433.23651000000001</v>
      </c>
      <c r="K42" s="58">
        <f t="shared" si="30"/>
        <v>260.55279000000002</v>
      </c>
      <c r="L42" s="58">
        <f t="shared" si="30"/>
        <v>308.48899999999998</v>
      </c>
      <c r="M42" s="58">
        <f t="shared" si="30"/>
        <v>389.49</v>
      </c>
      <c r="N42" s="58">
        <f t="shared" si="30"/>
        <v>255.209</v>
      </c>
      <c r="O42" s="58">
        <f t="shared" si="30"/>
        <v>217.22</v>
      </c>
      <c r="P42" s="58">
        <f t="shared" si="30"/>
        <v>424.51098000000002</v>
      </c>
      <c r="Q42" s="58">
        <f t="shared" si="30"/>
        <v>0</v>
      </c>
      <c r="R42" s="58">
        <f t="shared" si="30"/>
        <v>302.16199999999998</v>
      </c>
      <c r="S42" s="58">
        <f t="shared" si="30"/>
        <v>0</v>
      </c>
      <c r="T42" s="58">
        <f t="shared" si="30"/>
        <v>322.65899999999999</v>
      </c>
      <c r="U42" s="58">
        <f t="shared" si="30"/>
        <v>0</v>
      </c>
      <c r="V42" s="58">
        <f t="shared" si="30"/>
        <v>477.26431000000002</v>
      </c>
      <c r="W42" s="58">
        <f t="shared" si="30"/>
        <v>0</v>
      </c>
      <c r="X42" s="58">
        <f t="shared" si="30"/>
        <v>316.54500000000002</v>
      </c>
      <c r="Y42" s="58">
        <f t="shared" si="30"/>
        <v>0</v>
      </c>
      <c r="Z42" s="58">
        <f t="shared" si="30"/>
        <v>248.209</v>
      </c>
      <c r="AA42" s="58">
        <f t="shared" si="30"/>
        <v>0</v>
      </c>
      <c r="AB42" s="58">
        <f t="shared" si="30"/>
        <v>276.16000000000003</v>
      </c>
      <c r="AC42" s="58">
        <f t="shared" si="30"/>
        <v>0</v>
      </c>
      <c r="AD42" s="58">
        <f t="shared" si="30"/>
        <v>248.15299999999999</v>
      </c>
      <c r="AE42" s="58">
        <f t="shared" si="30"/>
        <v>0</v>
      </c>
      <c r="AF42" s="58">
        <f t="shared" si="30"/>
        <v>488.00189999999998</v>
      </c>
      <c r="AG42" s="58">
        <f t="shared" si="30"/>
        <v>0</v>
      </c>
      <c r="AH42" s="60"/>
      <c r="AI42" s="23"/>
      <c r="AJ42" s="163">
        <f t="shared" si="26"/>
        <v>129.67172000000005</v>
      </c>
    </row>
    <row r="43" spans="1:36" s="21" customFormat="1" ht="45.75" hidden="1" customHeight="1" x14ac:dyDescent="0.25">
      <c r="A43" s="127"/>
      <c r="B43" s="412"/>
      <c r="C43" s="126" t="s">
        <v>52</v>
      </c>
      <c r="D43" s="74">
        <f>SUM(J43,L43,N43,P43,R43,T43,V43,X43,Z43,AB43,AD43,AF43)</f>
        <v>0</v>
      </c>
      <c r="E43" s="62">
        <f>J43</f>
        <v>0</v>
      </c>
      <c r="F43" s="62">
        <f>G43</f>
        <v>0</v>
      </c>
      <c r="G43" s="62">
        <f>SUM(K43,M43,O43,Q43,S43,U43,W43,Y43,AA43,AC43,AE43,AG43)</f>
        <v>0</v>
      </c>
      <c r="H43" s="62">
        <f t="shared" si="23"/>
        <v>0</v>
      </c>
      <c r="I43" s="62">
        <f t="shared" si="24"/>
        <v>0</v>
      </c>
      <c r="J43" s="62">
        <v>0</v>
      </c>
      <c r="K43" s="62">
        <v>0</v>
      </c>
      <c r="L43" s="62">
        <v>0</v>
      </c>
      <c r="M43" s="62">
        <v>0</v>
      </c>
      <c r="N43" s="62">
        <v>0</v>
      </c>
      <c r="O43" s="62">
        <v>0</v>
      </c>
      <c r="P43" s="62">
        <v>0</v>
      </c>
      <c r="Q43" s="62">
        <v>0</v>
      </c>
      <c r="R43" s="62">
        <v>0</v>
      </c>
      <c r="S43" s="62">
        <v>0</v>
      </c>
      <c r="T43" s="62">
        <v>0</v>
      </c>
      <c r="U43" s="62">
        <v>0</v>
      </c>
      <c r="V43" s="62">
        <v>0</v>
      </c>
      <c r="W43" s="62">
        <v>0</v>
      </c>
      <c r="X43" s="62">
        <v>0</v>
      </c>
      <c r="Y43" s="62">
        <v>0</v>
      </c>
      <c r="Z43" s="62">
        <v>0</v>
      </c>
      <c r="AA43" s="62">
        <v>0</v>
      </c>
      <c r="AB43" s="62">
        <v>0</v>
      </c>
      <c r="AC43" s="62">
        <v>0</v>
      </c>
      <c r="AD43" s="62">
        <v>0</v>
      </c>
      <c r="AE43" s="62">
        <v>0</v>
      </c>
      <c r="AF43" s="62">
        <v>0</v>
      </c>
      <c r="AG43" s="62">
        <v>0</v>
      </c>
      <c r="AH43" s="60"/>
      <c r="AI43" s="23"/>
      <c r="AJ43" s="268">
        <f t="shared" si="26"/>
        <v>0</v>
      </c>
    </row>
    <row r="44" spans="1:36" s="21" customFormat="1" ht="325.5" customHeight="1" x14ac:dyDescent="0.25">
      <c r="A44" s="127"/>
      <c r="B44" s="412"/>
      <c r="C44" s="126" t="s">
        <v>22</v>
      </c>
      <c r="D44" s="74">
        <f>SUM(J44,L44,N44,P44,R44,T44,V44,X44,Z44,AB44,AD44,AF44)</f>
        <v>4100.5996999999998</v>
      </c>
      <c r="E44" s="62">
        <f>J44+L44+N44</f>
        <v>996.93451000000005</v>
      </c>
      <c r="F44" s="62">
        <f>867.26243</f>
        <v>867.26242999999999</v>
      </c>
      <c r="G44" s="62">
        <f>SUM(K44,M44,O44,Q44,S44,U44,W44,Y44,AA44,AC44,AE44,AG44)</f>
        <v>867.26279</v>
      </c>
      <c r="H44" s="62">
        <f t="shared" si="23"/>
        <v>21.149657451323524</v>
      </c>
      <c r="I44" s="62">
        <f t="shared" si="24"/>
        <v>86.992955033726332</v>
      </c>
      <c r="J44" s="63">
        <v>433.23651000000001</v>
      </c>
      <c r="K44" s="63">
        <v>260.55279000000002</v>
      </c>
      <c r="L44" s="63">
        <v>308.48899999999998</v>
      </c>
      <c r="M44" s="63">
        <v>389.49</v>
      </c>
      <c r="N44" s="63">
        <v>255.209</v>
      </c>
      <c r="O44" s="63">
        <v>217.22</v>
      </c>
      <c r="P44" s="63">
        <v>424.51098000000002</v>
      </c>
      <c r="Q44" s="63">
        <v>0</v>
      </c>
      <c r="R44" s="63">
        <v>302.16199999999998</v>
      </c>
      <c r="S44" s="63">
        <v>0</v>
      </c>
      <c r="T44" s="63">
        <v>322.65899999999999</v>
      </c>
      <c r="U44" s="63">
        <v>0</v>
      </c>
      <c r="V44" s="63">
        <v>477.26431000000002</v>
      </c>
      <c r="W44" s="63">
        <v>0</v>
      </c>
      <c r="X44" s="63">
        <v>316.54500000000002</v>
      </c>
      <c r="Y44" s="63">
        <v>0</v>
      </c>
      <c r="Z44" s="63">
        <v>248.209</v>
      </c>
      <c r="AA44" s="63">
        <v>0</v>
      </c>
      <c r="AB44" s="63">
        <v>276.16000000000003</v>
      </c>
      <c r="AC44" s="63">
        <v>0</v>
      </c>
      <c r="AD44" s="63">
        <v>248.15299999999999</v>
      </c>
      <c r="AE44" s="63">
        <v>0</v>
      </c>
      <c r="AF44" s="63">
        <v>488.00189999999998</v>
      </c>
      <c r="AG44" s="63">
        <v>0</v>
      </c>
      <c r="AH44" s="270" t="s">
        <v>357</v>
      </c>
      <c r="AI44" s="23"/>
      <c r="AJ44" s="268">
        <f t="shared" si="26"/>
        <v>129.67172000000005</v>
      </c>
    </row>
    <row r="45" spans="1:36" s="22" customFormat="1" ht="36.75" hidden="1" customHeight="1" x14ac:dyDescent="0.25">
      <c r="A45" s="127"/>
      <c r="B45" s="429"/>
      <c r="C45" s="126" t="s">
        <v>21</v>
      </c>
      <c r="D45" s="74">
        <f>SUM(J45,L45,N45,P45,R45,T45,V45,X45,Z45,AB45,AD45,AF45)</f>
        <v>0</v>
      </c>
      <c r="E45" s="62">
        <f>J45+L45+N45</f>
        <v>0</v>
      </c>
      <c r="F45" s="62">
        <f>G45</f>
        <v>0</v>
      </c>
      <c r="G45" s="62">
        <f>SUM(K45,M45,O45,Q45,S45,U45,W45,Y45,AA45,AC45,AE45,AG45)</f>
        <v>0</v>
      </c>
      <c r="H45" s="62">
        <f t="shared" si="23"/>
        <v>0</v>
      </c>
      <c r="I45" s="62">
        <f t="shared" si="24"/>
        <v>0</v>
      </c>
      <c r="J45" s="67">
        <v>0</v>
      </c>
      <c r="K45" s="67">
        <v>0</v>
      </c>
      <c r="L45" s="67">
        <v>0</v>
      </c>
      <c r="M45" s="67">
        <v>0</v>
      </c>
      <c r="N45" s="67">
        <v>0</v>
      </c>
      <c r="O45" s="67">
        <v>0</v>
      </c>
      <c r="P45" s="67">
        <v>0</v>
      </c>
      <c r="Q45" s="67">
        <v>0</v>
      </c>
      <c r="R45" s="67">
        <v>0</v>
      </c>
      <c r="S45" s="67">
        <v>0</v>
      </c>
      <c r="T45" s="67">
        <v>0</v>
      </c>
      <c r="U45" s="67">
        <v>0</v>
      </c>
      <c r="V45" s="67">
        <v>0</v>
      </c>
      <c r="W45" s="67">
        <v>0</v>
      </c>
      <c r="X45" s="67">
        <v>0</v>
      </c>
      <c r="Y45" s="67">
        <v>0</v>
      </c>
      <c r="Z45" s="67">
        <v>0</v>
      </c>
      <c r="AA45" s="67">
        <v>0</v>
      </c>
      <c r="AB45" s="67">
        <v>0</v>
      </c>
      <c r="AC45" s="67">
        <v>0</v>
      </c>
      <c r="AD45" s="67">
        <v>0</v>
      </c>
      <c r="AE45" s="67">
        <v>0</v>
      </c>
      <c r="AF45" s="67">
        <v>0</v>
      </c>
      <c r="AG45" s="67">
        <v>0</v>
      </c>
      <c r="AH45" s="64"/>
      <c r="AI45" s="20"/>
      <c r="AJ45" s="163">
        <f t="shared" si="26"/>
        <v>0</v>
      </c>
    </row>
    <row r="46" spans="1:36" s="21" customFormat="1" ht="40.5" customHeight="1" x14ac:dyDescent="0.25">
      <c r="A46" s="127"/>
      <c r="B46" s="411" t="s">
        <v>217</v>
      </c>
      <c r="C46" s="125" t="s">
        <v>20</v>
      </c>
      <c r="D46" s="70">
        <f>D48+D49+D47</f>
        <v>22</v>
      </c>
      <c r="E46" s="58">
        <f>E48+E49+E47</f>
        <v>0</v>
      </c>
      <c r="F46" s="58">
        <f>F48+F49+F47</f>
        <v>0</v>
      </c>
      <c r="G46" s="58">
        <f>G48+G49+G47</f>
        <v>0</v>
      </c>
      <c r="H46" s="58">
        <f t="shared" si="23"/>
        <v>0</v>
      </c>
      <c r="I46" s="58">
        <f t="shared" si="24"/>
        <v>0</v>
      </c>
      <c r="J46" s="58">
        <f t="shared" ref="J46:AG46" si="31">J48+J49+J47</f>
        <v>0</v>
      </c>
      <c r="K46" s="58">
        <f t="shared" si="31"/>
        <v>0</v>
      </c>
      <c r="L46" s="58">
        <f t="shared" si="31"/>
        <v>0</v>
      </c>
      <c r="M46" s="58">
        <f t="shared" si="31"/>
        <v>0</v>
      </c>
      <c r="N46" s="58">
        <f t="shared" si="31"/>
        <v>0</v>
      </c>
      <c r="O46" s="58">
        <f t="shared" si="31"/>
        <v>0</v>
      </c>
      <c r="P46" s="58">
        <f t="shared" si="31"/>
        <v>0</v>
      </c>
      <c r="Q46" s="58">
        <f t="shared" si="31"/>
        <v>0</v>
      </c>
      <c r="R46" s="58">
        <f t="shared" si="31"/>
        <v>22</v>
      </c>
      <c r="S46" s="58">
        <f t="shared" si="31"/>
        <v>0</v>
      </c>
      <c r="T46" s="58">
        <f t="shared" si="31"/>
        <v>0</v>
      </c>
      <c r="U46" s="58">
        <f t="shared" si="31"/>
        <v>0</v>
      </c>
      <c r="V46" s="58">
        <f t="shared" si="31"/>
        <v>0</v>
      </c>
      <c r="W46" s="58">
        <f t="shared" si="31"/>
        <v>0</v>
      </c>
      <c r="X46" s="58">
        <f t="shared" si="31"/>
        <v>0</v>
      </c>
      <c r="Y46" s="58">
        <f t="shared" si="31"/>
        <v>0</v>
      </c>
      <c r="Z46" s="58">
        <f t="shared" si="31"/>
        <v>0</v>
      </c>
      <c r="AA46" s="58">
        <f t="shared" si="31"/>
        <v>0</v>
      </c>
      <c r="AB46" s="58">
        <f t="shared" si="31"/>
        <v>0</v>
      </c>
      <c r="AC46" s="58">
        <f t="shared" si="31"/>
        <v>0</v>
      </c>
      <c r="AD46" s="58">
        <f t="shared" si="31"/>
        <v>0</v>
      </c>
      <c r="AE46" s="58">
        <f t="shared" si="31"/>
        <v>0</v>
      </c>
      <c r="AF46" s="58">
        <f t="shared" si="31"/>
        <v>0</v>
      </c>
      <c r="AG46" s="58">
        <f t="shared" si="31"/>
        <v>0</v>
      </c>
      <c r="AH46" s="60"/>
      <c r="AI46" s="23"/>
      <c r="AJ46" s="268">
        <f t="shared" si="26"/>
        <v>0</v>
      </c>
    </row>
    <row r="47" spans="1:36" s="21" customFormat="1" ht="27" hidden="1" customHeight="1" x14ac:dyDescent="0.25">
      <c r="A47" s="127"/>
      <c r="B47" s="412"/>
      <c r="C47" s="126" t="s">
        <v>52</v>
      </c>
      <c r="D47" s="74">
        <f>SUM(J47,L47,N47,P47,R47,T47,V47,X47,Z47,AB47,AD47,AF47)</f>
        <v>0</v>
      </c>
      <c r="E47" s="62">
        <f>J47</f>
        <v>0</v>
      </c>
      <c r="F47" s="62">
        <f>G47</f>
        <v>0</v>
      </c>
      <c r="G47" s="62">
        <f>SUM(K47,M47,O47,Q47,S47,U47,W47,Y47,AA47,AC47,AE47,AG47)</f>
        <v>0</v>
      </c>
      <c r="H47" s="62">
        <f t="shared" si="23"/>
        <v>0</v>
      </c>
      <c r="I47" s="62">
        <f t="shared" si="24"/>
        <v>0</v>
      </c>
      <c r="J47" s="62">
        <v>0</v>
      </c>
      <c r="K47" s="62">
        <v>0</v>
      </c>
      <c r="L47" s="62">
        <v>0</v>
      </c>
      <c r="M47" s="62">
        <v>0</v>
      </c>
      <c r="N47" s="62">
        <v>0</v>
      </c>
      <c r="O47" s="62">
        <v>0</v>
      </c>
      <c r="P47" s="62">
        <v>0</v>
      </c>
      <c r="Q47" s="62">
        <v>0</v>
      </c>
      <c r="R47" s="62">
        <v>0</v>
      </c>
      <c r="S47" s="62">
        <v>0</v>
      </c>
      <c r="T47" s="62">
        <v>0</v>
      </c>
      <c r="U47" s="62">
        <v>0</v>
      </c>
      <c r="V47" s="62">
        <v>0</v>
      </c>
      <c r="W47" s="62">
        <v>0</v>
      </c>
      <c r="X47" s="62">
        <v>0</v>
      </c>
      <c r="Y47" s="62">
        <v>0</v>
      </c>
      <c r="Z47" s="62">
        <v>0</v>
      </c>
      <c r="AA47" s="62">
        <v>0</v>
      </c>
      <c r="AB47" s="62">
        <v>0</v>
      </c>
      <c r="AC47" s="62">
        <v>0</v>
      </c>
      <c r="AD47" s="62">
        <v>0</v>
      </c>
      <c r="AE47" s="62">
        <v>0</v>
      </c>
      <c r="AF47" s="62">
        <v>0</v>
      </c>
      <c r="AG47" s="62">
        <v>0</v>
      </c>
      <c r="AH47" s="60"/>
      <c r="AI47" s="23"/>
      <c r="AJ47" s="268">
        <f t="shared" si="26"/>
        <v>0</v>
      </c>
    </row>
    <row r="48" spans="1:36" s="21" customFormat="1" ht="120.75" hidden="1" customHeight="1" x14ac:dyDescent="0.25">
      <c r="A48" s="127"/>
      <c r="B48" s="412"/>
      <c r="C48" s="126" t="s">
        <v>22</v>
      </c>
      <c r="D48" s="74">
        <f>SUM(J48,L48,N48,P48,R48,T48,V48,X48,Z48,AB48,AD48,AF48)</f>
        <v>0</v>
      </c>
      <c r="E48" s="62">
        <f>J48</f>
        <v>0</v>
      </c>
      <c r="F48" s="62">
        <f>G48</f>
        <v>0</v>
      </c>
      <c r="G48" s="62">
        <f>SUM(K48,M48,O48,Q48,S48,U48,W48,Y48,AA48,AC48,AE48,AG48)</f>
        <v>0</v>
      </c>
      <c r="H48" s="62">
        <f t="shared" si="23"/>
        <v>0</v>
      </c>
      <c r="I48" s="62">
        <f t="shared" si="24"/>
        <v>0</v>
      </c>
      <c r="J48" s="63">
        <v>0</v>
      </c>
      <c r="K48" s="63">
        <v>0</v>
      </c>
      <c r="L48" s="63">
        <v>0</v>
      </c>
      <c r="M48" s="63">
        <v>0</v>
      </c>
      <c r="N48" s="63">
        <v>0</v>
      </c>
      <c r="O48" s="63">
        <v>0</v>
      </c>
      <c r="P48" s="63">
        <v>0</v>
      </c>
      <c r="Q48" s="63">
        <v>0</v>
      </c>
      <c r="R48" s="63">
        <v>0</v>
      </c>
      <c r="S48" s="63">
        <v>0</v>
      </c>
      <c r="T48" s="63">
        <v>0</v>
      </c>
      <c r="U48" s="63">
        <v>0</v>
      </c>
      <c r="V48" s="63">
        <v>0</v>
      </c>
      <c r="W48" s="63">
        <v>0</v>
      </c>
      <c r="X48" s="63">
        <v>0</v>
      </c>
      <c r="Y48" s="63">
        <v>0</v>
      </c>
      <c r="Z48" s="63">
        <v>0</v>
      </c>
      <c r="AA48" s="63">
        <v>0</v>
      </c>
      <c r="AB48" s="63">
        <v>0</v>
      </c>
      <c r="AC48" s="63">
        <v>0</v>
      </c>
      <c r="AD48" s="63">
        <v>0</v>
      </c>
      <c r="AE48" s="63">
        <v>0</v>
      </c>
      <c r="AF48" s="63">
        <v>0</v>
      </c>
      <c r="AG48" s="63">
        <v>0</v>
      </c>
      <c r="AH48" s="60"/>
      <c r="AI48" s="23"/>
      <c r="AJ48" s="268">
        <f t="shared" si="26"/>
        <v>0</v>
      </c>
    </row>
    <row r="49" spans="1:36" s="22" customFormat="1" ht="30" customHeight="1" x14ac:dyDescent="0.25">
      <c r="A49" s="128"/>
      <c r="B49" s="429"/>
      <c r="C49" s="126" t="s">
        <v>21</v>
      </c>
      <c r="D49" s="74">
        <f>SUM(J49,L49,N49,P49,R49,T49,V49,X49,Z49,AB49,AD49,AF49)</f>
        <v>22</v>
      </c>
      <c r="E49" s="62">
        <f>J49+L49+N49</f>
        <v>0</v>
      </c>
      <c r="F49" s="62">
        <f>G49</f>
        <v>0</v>
      </c>
      <c r="G49" s="62">
        <f>SUM(K49,M49,O49,Q49,S49,U49,W49,Y49,AA49,AC49,AE49,AG49)</f>
        <v>0</v>
      </c>
      <c r="H49" s="62">
        <f t="shared" si="23"/>
        <v>0</v>
      </c>
      <c r="I49" s="62">
        <f t="shared" si="24"/>
        <v>0</v>
      </c>
      <c r="J49" s="67">
        <v>0</v>
      </c>
      <c r="K49" s="67">
        <v>0</v>
      </c>
      <c r="L49" s="67">
        <v>0</v>
      </c>
      <c r="M49" s="67">
        <v>0</v>
      </c>
      <c r="N49" s="67">
        <v>0</v>
      </c>
      <c r="O49" s="67">
        <v>0</v>
      </c>
      <c r="P49" s="67">
        <v>0</v>
      </c>
      <c r="Q49" s="67">
        <v>0</v>
      </c>
      <c r="R49" s="67">
        <v>22</v>
      </c>
      <c r="S49" s="67">
        <v>0</v>
      </c>
      <c r="T49" s="67">
        <v>0</v>
      </c>
      <c r="U49" s="67">
        <v>0</v>
      </c>
      <c r="V49" s="67">
        <v>0</v>
      </c>
      <c r="W49" s="67">
        <v>0</v>
      </c>
      <c r="X49" s="67">
        <v>0</v>
      </c>
      <c r="Y49" s="67">
        <v>0</v>
      </c>
      <c r="Z49" s="67">
        <v>0</v>
      </c>
      <c r="AA49" s="67">
        <v>0</v>
      </c>
      <c r="AB49" s="67">
        <v>0</v>
      </c>
      <c r="AC49" s="67">
        <v>0</v>
      </c>
      <c r="AD49" s="67">
        <v>0</v>
      </c>
      <c r="AE49" s="67">
        <v>0</v>
      </c>
      <c r="AF49" s="67">
        <v>0</v>
      </c>
      <c r="AG49" s="67">
        <v>0</v>
      </c>
      <c r="AH49" s="64"/>
      <c r="AI49" s="20"/>
      <c r="AJ49" s="268">
        <f t="shared" si="26"/>
        <v>0</v>
      </c>
    </row>
  </sheetData>
  <customSheetViews>
    <customSheetView guid="{2940A182-D1A7-43C5-8D6E-965BED4371B0}" scale="80" hiddenRows="1" state="hidden">
      <pane xSplit="6" ySplit="7" topLeftCell="G8" activePane="bottomRight" state="frozen"/>
      <selection pane="bottomRight" activeCell="G57" sqref="G57"/>
      <pageMargins left="0.7" right="0.7" top="0.75" bottom="0.75" header="0.3" footer="0.3"/>
      <pageSetup paperSize="9" orientation="portrait" r:id="rId1"/>
    </customSheetView>
    <customSheetView guid="{BBF6B43F-E0FC-43DF-B91C-674F6AB4B556}" scale="80" hiddenRows="1">
      <pane xSplit="6" ySplit="7" topLeftCell="G8" activePane="bottomRight" state="frozen"/>
      <selection pane="bottomRight" activeCell="G57" sqref="G57"/>
      <pageMargins left="0.7" right="0.7" top="0.75" bottom="0.75" header="0.3" footer="0.3"/>
      <pageSetup paperSize="9" orientation="portrait" r:id="rId2"/>
    </customSheetView>
    <customSheetView guid="{30B635D9-57DB-47D5-8A0F-4B30DD769960}" scale="80" hiddenRows="1">
      <pane xSplit="6" ySplit="7" topLeftCell="G8" activePane="bottomRight" state="frozen"/>
      <selection pane="bottomRight" activeCell="G57" sqref="G57"/>
      <pageMargins left="0.7" right="0.7" top="0.75" bottom="0.75" header="0.3" footer="0.3"/>
      <pageSetup paperSize="9" orientation="portrait" r:id="rId3"/>
    </customSheetView>
    <customSheetView guid="{DAEDC989-02E7-4319-8354-59410ACF3F1F}" scale="80" hiddenRows="1">
      <pane xSplit="6" ySplit="7" topLeftCell="G27" activePane="bottomRight" state="frozen"/>
      <selection pane="bottomRight" activeCell="G57" sqref="G57"/>
      <pageMargins left="0.7" right="0.7" top="0.75" bottom="0.75" header="0.3" footer="0.3"/>
      <pageSetup paperSize="9" orientation="portrait" r:id="rId4"/>
    </customSheetView>
    <customSheetView guid="{21E1D423-7B38-4272-8354-09B4DB62C9EB}" scale="80" hiddenRows="1">
      <pane xSplit="6" ySplit="7" topLeftCell="G8" activePane="bottomRight" state="frozen"/>
      <selection pane="bottomRight" activeCell="G57" sqref="G57"/>
      <pageMargins left="0.7" right="0.7" top="0.75" bottom="0.75" header="0.3" footer="0.3"/>
      <pageSetup paperSize="9" orientation="portrait" r:id="rId5"/>
    </customSheetView>
    <customSheetView guid="{EA46B61D-849C-4795-A4FF-F8F1740022EB}" scale="80" hiddenRows="1">
      <pane xSplit="6" ySplit="7" topLeftCell="G8" activePane="bottomRight" state="frozen"/>
      <selection pane="bottomRight" activeCell="G57" sqref="G57"/>
      <pageMargins left="0.7" right="0.7" top="0.75" bottom="0.75" header="0.3" footer="0.3"/>
      <pageSetup paperSize="9" orientation="portrait" r:id="rId6"/>
    </customSheetView>
    <customSheetView guid="{A0E2FBF6-E560-4343-8BE6-217DC798135B}" scale="80" hiddenRows="1">
      <pane xSplit="6" ySplit="7" topLeftCell="G8" activePane="bottomRight" state="frozen"/>
      <selection pane="bottomRight" sqref="A1:XFD1048576"/>
      <pageMargins left="0.7" right="0.7" top="0.75" bottom="0.75" header="0.3" footer="0.3"/>
      <pageSetup paperSize="9" orientation="portrait" r:id="rId7"/>
    </customSheetView>
    <customSheetView guid="{20A05A62-CBE8-4538-BBC3-2AD9D3B8FAC0}" scale="80" hiddenRows="1">
      <pane xSplit="6" ySplit="7" topLeftCell="G8" activePane="bottomRight" state="frozen"/>
      <selection pane="bottomRight" activeCell="G57" sqref="G57"/>
      <pageMargins left="0.7" right="0.7" top="0.75" bottom="0.75" header="0.3" footer="0.3"/>
      <pageSetup paperSize="9" orientation="portrait" r:id="rId8"/>
    </customSheetView>
    <customSheetView guid="{A4AF2100-C59D-4F60-9EAB-56D9103463F7}" scale="80" hiddenRows="1">
      <pane xSplit="6" ySplit="7" topLeftCell="G8" activePane="bottomRight" state="frozen"/>
      <selection pane="bottomRight" activeCell="G57" sqref="G57"/>
      <pageMargins left="0.7" right="0.7" top="0.75" bottom="0.75" header="0.3" footer="0.3"/>
      <pageSetup paperSize="9" orientation="portrait" r:id="rId9"/>
    </customSheetView>
    <customSheetView guid="{AB9978E4-895D-4050-8F07-2484E22632D1}" scale="80" hiddenRows="1">
      <pane xSplit="6" ySplit="7" topLeftCell="G8" activePane="bottomRight" state="frozen"/>
      <selection pane="bottomRight" activeCell="G57" sqref="G57"/>
      <pageMargins left="0.7" right="0.7" top="0.75" bottom="0.75" header="0.3" footer="0.3"/>
      <pageSetup paperSize="9" orientation="portrait" r:id="rId10"/>
    </customSheetView>
    <customSheetView guid="{519948E4-0B24-465F-9D9E-44BE50D1D647}" scale="80" hiddenRows="1">
      <pane xSplit="6" ySplit="7" topLeftCell="G8" activePane="bottomRight" state="frozen"/>
      <selection pane="bottomRight" activeCell="G57" sqref="G57"/>
      <pageMargins left="0.7" right="0.7" top="0.75" bottom="0.75" header="0.3" footer="0.3"/>
      <pageSetup paperSize="9" orientation="portrait" r:id="rId11"/>
    </customSheetView>
    <customSheetView guid="{C7DC638A-7F60-46C9-A1FB-9ADEAE87F332}" scale="80" hiddenRows="1">
      <pane xSplit="6" ySplit="7" topLeftCell="G8" activePane="bottomRight" state="frozen"/>
      <selection pane="bottomRight" activeCell="G57" sqref="G57"/>
      <pageMargins left="0.7" right="0.7" top="0.75" bottom="0.75" header="0.3" footer="0.3"/>
      <pageSetup paperSize="9" orientation="portrait" r:id="rId12"/>
    </customSheetView>
    <customSheetView guid="{2A5A11D4-90C6-4A3E-8165-7D7BD634B22F}" scale="80" hiddenRows="1">
      <pane xSplit="6" ySplit="7" topLeftCell="G8" activePane="bottomRight" state="frozen"/>
      <selection pane="bottomRight" activeCell="G57" sqref="G57"/>
      <pageMargins left="0.7" right="0.7" top="0.75" bottom="0.75" header="0.3" footer="0.3"/>
      <pageSetup paperSize="9" orientation="portrait" r:id="rId13"/>
    </customSheetView>
    <customSheetView guid="{562453CE-35F5-40A3-AD14-6399D1197C99}" scale="80" hiddenRows="1">
      <pane xSplit="6" ySplit="7" topLeftCell="G27" activePane="bottomRight" state="frozen"/>
      <selection pane="bottomRight" activeCell="G57" sqref="G57"/>
      <pageMargins left="0.7" right="0.7" top="0.75" bottom="0.75" header="0.3" footer="0.3"/>
      <pageSetup paperSize="9" orientation="portrait" r:id="rId14"/>
    </customSheetView>
    <customSheetView guid="{B6B60ED6-A6CC-4DA7-A8CA-5E6DB52D5A87}" scale="80" hiddenRows="1">
      <pane xSplit="6" ySplit="7" topLeftCell="G27" activePane="bottomRight" state="frozen"/>
      <selection pane="bottomRight" activeCell="G57" sqref="G57"/>
      <pageMargins left="0.7" right="0.7" top="0.75" bottom="0.75" header="0.3" footer="0.3"/>
      <pageSetup paperSize="9" orientation="portrait" r:id="rId15"/>
    </customSheetView>
    <customSheetView guid="{133BB3F8-8DD4-4AEF-8CD6-A5FB14681329}" scale="80" hiddenRows="1">
      <pane xSplit="6" ySplit="7" topLeftCell="G50" activePane="bottomRight" state="frozen"/>
      <selection pane="bottomRight" activeCell="Q19" sqref="Q19"/>
      <pageMargins left="0.7" right="0.7" top="0.75" bottom="0.75" header="0.3" footer="0.3"/>
      <pageSetup paperSize="9" orientation="portrait" r:id="rId16"/>
    </customSheetView>
    <customSheetView guid="{5DF2C78B-5EE4-439D-8D72-8D3A913B65F9}" scale="80" hiddenRows="1">
      <pane xSplit="6" ySplit="7" topLeftCell="G8" activePane="bottomRight" state="frozen"/>
      <selection pane="bottomRight" activeCell="G57" sqref="G57"/>
      <pageMargins left="0.7" right="0.7" top="0.75" bottom="0.75" header="0.3" footer="0.3"/>
      <pageSetup paperSize="9" orientation="portrait" r:id="rId17"/>
    </customSheetView>
    <customSheetView guid="{60A1F930-4BEC-460A-8E14-01E47F6DD055}" scale="80" hiddenRows="1">
      <pane xSplit="6" ySplit="7" topLeftCell="G8" activePane="bottomRight" state="frozen"/>
      <selection pane="bottomRight" activeCell="G57" sqref="G57"/>
      <pageMargins left="0.7" right="0.7" top="0.75" bottom="0.75" header="0.3" footer="0.3"/>
      <pageSetup paperSize="9" orientation="portrait" r:id="rId18"/>
    </customSheetView>
    <customSheetView guid="{7C5A2A36-3D69-43D9-9018-A52C27EC78F9}" scale="80" hiddenRows="1">
      <pane xSplit="6" ySplit="7" topLeftCell="G8" activePane="bottomRight" state="frozen"/>
      <selection pane="bottomRight" activeCell="G57" sqref="G57"/>
      <pageMargins left="0.7" right="0.7" top="0.75" bottom="0.75" header="0.3" footer="0.3"/>
      <pageSetup paperSize="9" orientation="portrait" r:id="rId19"/>
    </customSheetView>
    <customSheetView guid="{C282AA4E-1BB5-4296-9AC6-844C0F88E5FC}" scale="80" hiddenRows="1">
      <pane xSplit="6" ySplit="7" topLeftCell="G8" activePane="bottomRight" state="frozen"/>
      <selection pane="bottomRight" activeCell="G57" sqref="G57"/>
      <pageMargins left="0.7" right="0.7" top="0.75" bottom="0.75" header="0.3" footer="0.3"/>
      <pageSetup paperSize="9" orientation="portrait" r:id="rId20"/>
    </customSheetView>
    <customSheetView guid="{996EC2F0-F6EC-4E63-A83E-34865157BD8D}" scale="80" hiddenRows="1">
      <pane xSplit="6" ySplit="7" topLeftCell="G8" activePane="bottomRight" state="frozen"/>
      <selection pane="bottomRight" activeCell="G57" sqref="G57"/>
      <pageMargins left="0.7" right="0.7" top="0.75" bottom="0.75" header="0.3" footer="0.3"/>
      <pageSetup paperSize="9" orientation="portrait" r:id="rId21"/>
    </customSheetView>
    <customSheetView guid="{AFADB96A-0516-43C1-9F1B-0604F3CAC04A}" scale="80" hiddenRows="1">
      <pane xSplit="6" ySplit="7" topLeftCell="G8" activePane="bottomRight" state="frozen"/>
      <selection pane="bottomRight" activeCell="G57" sqref="G57"/>
      <pageMargins left="0.7" right="0.7" top="0.75" bottom="0.75" header="0.3" footer="0.3"/>
      <pageSetup paperSize="9" orientation="portrait" r:id="rId22"/>
    </customSheetView>
  </customSheetViews>
  <mergeCells count="43">
    <mergeCell ref="R4:S5"/>
    <mergeCell ref="T4:U5"/>
    <mergeCell ref="C2:S2"/>
    <mergeCell ref="C3:S3"/>
    <mergeCell ref="A4:A6"/>
    <mergeCell ref="B4:B6"/>
    <mergeCell ref="C4:C6"/>
    <mergeCell ref="D4:D5"/>
    <mergeCell ref="E4:E5"/>
    <mergeCell ref="F4:F5"/>
    <mergeCell ref="G4:G5"/>
    <mergeCell ref="H4:I5"/>
    <mergeCell ref="AH4:AH6"/>
    <mergeCell ref="A8:A11"/>
    <mergeCell ref="B8:B11"/>
    <mergeCell ref="B12:AG12"/>
    <mergeCell ref="A13:A16"/>
    <mergeCell ref="B13:B16"/>
    <mergeCell ref="V4:W5"/>
    <mergeCell ref="X4:Y5"/>
    <mergeCell ref="Z4:AA5"/>
    <mergeCell ref="AB4:AC5"/>
    <mergeCell ref="AD4:AE5"/>
    <mergeCell ref="AF4:AG5"/>
    <mergeCell ref="J4:K5"/>
    <mergeCell ref="L4:M5"/>
    <mergeCell ref="N4:O5"/>
    <mergeCell ref="P4:Q5"/>
    <mergeCell ref="A17:A20"/>
    <mergeCell ref="B17:B20"/>
    <mergeCell ref="A21:A24"/>
    <mergeCell ref="B21:B24"/>
    <mergeCell ref="A25:A28"/>
    <mergeCell ref="B25:B28"/>
    <mergeCell ref="B42:B45"/>
    <mergeCell ref="B46:B49"/>
    <mergeCell ref="A29:A32"/>
    <mergeCell ref="B29:B32"/>
    <mergeCell ref="A33:A36"/>
    <mergeCell ref="B33:B36"/>
    <mergeCell ref="B37:AG37"/>
    <mergeCell ref="A38:A41"/>
    <mergeCell ref="B38:B41"/>
  </mergeCells>
  <pageMargins left="0.7" right="0.7" top="0.75" bottom="0.75" header="0.3" footer="0.3"/>
  <pageSetup paperSize="9" orientation="portrait" r:id="rId2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15"/>
  <sheetViews>
    <sheetView zoomScale="80" zoomScaleNormal="80" workbookViewId="0">
      <pane xSplit="6" ySplit="7" topLeftCell="G8" activePane="bottomRight" state="frozen"/>
      <selection pane="topRight" activeCell="G1" sqref="G1"/>
      <selection pane="bottomLeft" activeCell="A8" sqref="A8"/>
      <selection pane="bottomRight" activeCell="T23" sqref="T23"/>
    </sheetView>
  </sheetViews>
  <sheetFormatPr defaultColWidth="9.140625" defaultRowHeight="15.75" x14ac:dyDescent="0.25"/>
  <cols>
    <col min="1" max="1" width="6.5703125" style="53" customWidth="1"/>
    <col min="2" max="2" width="40.5703125" style="53" customWidth="1"/>
    <col min="3" max="3" width="18.5703125" style="54" customWidth="1"/>
    <col min="4" max="4" width="18" style="53" customWidth="1"/>
    <col min="5" max="5" width="14.7109375" style="53" customWidth="1"/>
    <col min="6" max="6" width="17.140625" style="53" customWidth="1"/>
    <col min="7" max="7" width="17.85546875" style="53" customWidth="1"/>
    <col min="8" max="8" width="12.140625" style="53" customWidth="1"/>
    <col min="9" max="9" width="10.85546875" style="53" customWidth="1"/>
    <col min="10" max="10" width="12.7109375" style="53" customWidth="1"/>
    <col min="11" max="11" width="13.5703125" style="53" customWidth="1"/>
    <col min="12" max="12" width="12.42578125" style="53" customWidth="1"/>
    <col min="13" max="13" width="13" style="53" customWidth="1"/>
    <col min="14" max="33" width="11.5703125" style="53" customWidth="1"/>
    <col min="34" max="34" width="38.5703125" style="53" customWidth="1"/>
    <col min="35" max="16384" width="9.140625" style="53"/>
  </cols>
  <sheetData>
    <row r="1" spans="1:35" ht="8.25" customHeight="1" x14ac:dyDescent="0.25">
      <c r="C1" s="1"/>
      <c r="D1" s="2"/>
      <c r="E1" s="2"/>
      <c r="F1" s="2"/>
      <c r="G1" s="2"/>
      <c r="H1" s="2"/>
      <c r="I1" s="2"/>
      <c r="J1" s="3"/>
      <c r="K1" s="3"/>
      <c r="L1" s="3"/>
      <c r="M1" s="3"/>
      <c r="N1" s="3"/>
      <c r="O1" s="3"/>
      <c r="P1" s="3"/>
      <c r="Q1" s="3"/>
      <c r="R1" s="3"/>
      <c r="S1" s="3"/>
      <c r="T1" s="3"/>
      <c r="U1" s="3"/>
      <c r="V1" s="5"/>
      <c r="W1" s="5"/>
      <c r="X1" s="5"/>
      <c r="Y1" s="5"/>
      <c r="Z1" s="5"/>
      <c r="AA1" s="5"/>
      <c r="AB1" s="5"/>
      <c r="AC1" s="5"/>
      <c r="AD1" s="96"/>
      <c r="AE1" s="96"/>
      <c r="AF1" s="96"/>
      <c r="AG1" s="3"/>
      <c r="AH1" s="3"/>
    </row>
    <row r="2" spans="1:35" s="33" customFormat="1" x14ac:dyDescent="0.25">
      <c r="C2" s="346" t="s">
        <v>24</v>
      </c>
      <c r="D2" s="346"/>
      <c r="E2" s="346"/>
      <c r="F2" s="346"/>
      <c r="G2" s="346"/>
      <c r="H2" s="346"/>
      <c r="I2" s="346"/>
      <c r="J2" s="346"/>
      <c r="K2" s="346"/>
      <c r="L2" s="346"/>
      <c r="M2" s="346"/>
      <c r="N2" s="346"/>
      <c r="O2" s="346"/>
      <c r="P2" s="346"/>
      <c r="Q2" s="346"/>
      <c r="R2" s="346"/>
      <c r="S2" s="346"/>
      <c r="T2" s="35"/>
      <c r="U2" s="35"/>
      <c r="V2" s="35"/>
      <c r="W2" s="35"/>
      <c r="X2" s="35"/>
      <c r="Y2" s="35"/>
      <c r="Z2" s="35"/>
      <c r="AA2" s="35"/>
      <c r="AB2" s="35"/>
      <c r="AC2" s="35"/>
      <c r="AD2" s="35"/>
      <c r="AE2" s="35"/>
      <c r="AF2" s="35"/>
      <c r="AG2" s="35"/>
      <c r="AH2" s="35"/>
    </row>
    <row r="3" spans="1:35" s="33" customFormat="1" ht="36.75" customHeight="1" x14ac:dyDescent="0.25">
      <c r="C3" s="346" t="s">
        <v>148</v>
      </c>
      <c r="D3" s="346"/>
      <c r="E3" s="346"/>
      <c r="F3" s="346"/>
      <c r="G3" s="346"/>
      <c r="H3" s="346"/>
      <c r="I3" s="346"/>
      <c r="J3" s="346"/>
      <c r="K3" s="346"/>
      <c r="L3" s="346"/>
      <c r="M3" s="346"/>
      <c r="N3" s="346"/>
      <c r="O3" s="346"/>
      <c r="P3" s="346"/>
      <c r="Q3" s="346"/>
      <c r="R3" s="346"/>
      <c r="S3" s="346"/>
      <c r="T3" s="36"/>
      <c r="U3" s="36"/>
      <c r="V3" s="36"/>
      <c r="W3" s="36"/>
      <c r="X3" s="36"/>
      <c r="Y3" s="36"/>
      <c r="Z3" s="36"/>
      <c r="AA3" s="36"/>
      <c r="AB3" s="36"/>
      <c r="AC3" s="36"/>
      <c r="AD3" s="37"/>
      <c r="AE3" s="37"/>
      <c r="AF3" s="37"/>
      <c r="AG3" s="37" t="s">
        <v>0</v>
      </c>
      <c r="AH3" s="37"/>
    </row>
    <row r="4" spans="1:35" s="33" customFormat="1" ht="15" customHeight="1" x14ac:dyDescent="0.25">
      <c r="A4" s="348" t="s">
        <v>26</v>
      </c>
      <c r="B4" s="351" t="s">
        <v>29</v>
      </c>
      <c r="C4" s="351" t="s">
        <v>30</v>
      </c>
      <c r="D4" s="359"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33" customFormat="1" ht="39" customHeight="1" x14ac:dyDescent="0.25">
      <c r="A5" s="349"/>
      <c r="B5" s="352"/>
      <c r="C5" s="352"/>
      <c r="D5" s="360"/>
      <c r="E5" s="360"/>
      <c r="F5" s="360"/>
      <c r="G5" s="360"/>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5" s="33" customFormat="1" ht="64.5" customHeight="1" x14ac:dyDescent="0.25">
      <c r="A6" s="350"/>
      <c r="B6" s="353"/>
      <c r="C6" s="353"/>
      <c r="D6" s="38">
        <v>2025</v>
      </c>
      <c r="E6" s="39">
        <v>45778</v>
      </c>
      <c r="F6" s="39">
        <v>45778</v>
      </c>
      <c r="G6" s="39">
        <v>45778</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33" customFormat="1" x14ac:dyDescent="0.25">
      <c r="A7" s="56">
        <v>1</v>
      </c>
      <c r="B7" s="56">
        <v>2</v>
      </c>
      <c r="C7" s="56">
        <v>3</v>
      </c>
      <c r="D7" s="56">
        <v>4</v>
      </c>
      <c r="E7" s="56">
        <v>5</v>
      </c>
      <c r="F7" s="56">
        <v>6</v>
      </c>
      <c r="G7" s="56">
        <v>7</v>
      </c>
      <c r="H7" s="56">
        <v>8</v>
      </c>
      <c r="I7" s="56">
        <v>9</v>
      </c>
      <c r="J7" s="56">
        <v>10</v>
      </c>
      <c r="K7" s="56">
        <v>11</v>
      </c>
      <c r="L7" s="56">
        <v>12</v>
      </c>
      <c r="M7" s="56">
        <v>13</v>
      </c>
      <c r="N7" s="56">
        <v>14</v>
      </c>
      <c r="O7" s="56">
        <v>15</v>
      </c>
      <c r="P7" s="56">
        <v>16</v>
      </c>
      <c r="Q7" s="56">
        <v>17</v>
      </c>
      <c r="R7" s="56">
        <v>18</v>
      </c>
      <c r="S7" s="56">
        <v>19</v>
      </c>
      <c r="T7" s="56">
        <v>20</v>
      </c>
      <c r="U7" s="56">
        <v>21</v>
      </c>
      <c r="V7" s="56">
        <v>22</v>
      </c>
      <c r="W7" s="56">
        <v>23</v>
      </c>
      <c r="X7" s="56">
        <v>24</v>
      </c>
      <c r="Y7" s="56">
        <v>25</v>
      </c>
      <c r="Z7" s="56">
        <v>26</v>
      </c>
      <c r="AA7" s="56">
        <v>27</v>
      </c>
      <c r="AB7" s="56">
        <v>28</v>
      </c>
      <c r="AC7" s="56">
        <v>29</v>
      </c>
      <c r="AD7" s="56">
        <v>30</v>
      </c>
      <c r="AE7" s="56">
        <v>31</v>
      </c>
      <c r="AF7" s="56">
        <v>32</v>
      </c>
      <c r="AG7" s="56">
        <v>33</v>
      </c>
      <c r="AH7" s="56">
        <v>34</v>
      </c>
    </row>
    <row r="8" spans="1:35" s="100" customFormat="1" ht="31.5" customHeight="1" x14ac:dyDescent="0.25">
      <c r="A8" s="441"/>
      <c r="B8" s="361" t="s">
        <v>23</v>
      </c>
      <c r="C8" s="97" t="s">
        <v>20</v>
      </c>
      <c r="D8" s="98">
        <f>D9+D10</f>
        <v>2258</v>
      </c>
      <c r="E8" s="98">
        <f>E9+E10</f>
        <v>0</v>
      </c>
      <c r="F8" s="98">
        <f t="shared" ref="F8" si="0">F9+F10</f>
        <v>0</v>
      </c>
      <c r="G8" s="98">
        <f>G9+G10</f>
        <v>0</v>
      </c>
      <c r="H8" s="98">
        <f>IFERROR(G8/D8*100,0)</f>
        <v>0</v>
      </c>
      <c r="I8" s="98">
        <f>IFERROR(G8/E8*100,0)</f>
        <v>0</v>
      </c>
      <c r="J8" s="99">
        <f>J9+J10</f>
        <v>0</v>
      </c>
      <c r="K8" s="99">
        <f t="shared" ref="K8:AG8" si="1">K9+K10</f>
        <v>0</v>
      </c>
      <c r="L8" s="99">
        <f t="shared" si="1"/>
        <v>0</v>
      </c>
      <c r="M8" s="99">
        <f t="shared" si="1"/>
        <v>0</v>
      </c>
      <c r="N8" s="99">
        <f t="shared" si="1"/>
        <v>0</v>
      </c>
      <c r="O8" s="99">
        <f t="shared" si="1"/>
        <v>0</v>
      </c>
      <c r="P8" s="99">
        <f t="shared" si="1"/>
        <v>0</v>
      </c>
      <c r="Q8" s="99">
        <f t="shared" si="1"/>
        <v>0</v>
      </c>
      <c r="R8" s="99">
        <f t="shared" si="1"/>
        <v>0</v>
      </c>
      <c r="S8" s="99">
        <f t="shared" si="1"/>
        <v>0</v>
      </c>
      <c r="T8" s="99">
        <f t="shared" si="1"/>
        <v>360</v>
      </c>
      <c r="U8" s="99">
        <f t="shared" si="1"/>
        <v>0</v>
      </c>
      <c r="V8" s="99">
        <f t="shared" si="1"/>
        <v>1178</v>
      </c>
      <c r="W8" s="99">
        <f t="shared" si="1"/>
        <v>0</v>
      </c>
      <c r="X8" s="99">
        <f t="shared" si="1"/>
        <v>270</v>
      </c>
      <c r="Y8" s="99">
        <f t="shared" si="1"/>
        <v>0</v>
      </c>
      <c r="Z8" s="99">
        <f t="shared" si="1"/>
        <v>0</v>
      </c>
      <c r="AA8" s="99">
        <f t="shared" si="1"/>
        <v>0</v>
      </c>
      <c r="AB8" s="99">
        <f t="shared" si="1"/>
        <v>270</v>
      </c>
      <c r="AC8" s="99">
        <f t="shared" si="1"/>
        <v>0</v>
      </c>
      <c r="AD8" s="99">
        <f t="shared" si="1"/>
        <v>0</v>
      </c>
      <c r="AE8" s="99">
        <f t="shared" si="1"/>
        <v>0</v>
      </c>
      <c r="AF8" s="99">
        <f t="shared" si="1"/>
        <v>180</v>
      </c>
      <c r="AG8" s="99">
        <f t="shared" si="1"/>
        <v>0</v>
      </c>
      <c r="AH8" s="60"/>
    </row>
    <row r="9" spans="1:35" s="100" customFormat="1" ht="52.5" customHeight="1" x14ac:dyDescent="0.25">
      <c r="A9" s="442"/>
      <c r="B9" s="362"/>
      <c r="C9" s="101" t="s">
        <v>22</v>
      </c>
      <c r="D9" s="102">
        <f>D13</f>
        <v>1178</v>
      </c>
      <c r="E9" s="102">
        <f>E13</f>
        <v>0</v>
      </c>
      <c r="F9" s="102">
        <f>F13</f>
        <v>0</v>
      </c>
      <c r="G9" s="102">
        <f>G13</f>
        <v>0</v>
      </c>
      <c r="H9" s="102">
        <f>IFERROR(G9/D9*100,0)</f>
        <v>0</v>
      </c>
      <c r="I9" s="102">
        <f>IFERROR(G9/E9*100,0)</f>
        <v>0</v>
      </c>
      <c r="J9" s="103">
        <f>J13</f>
        <v>0</v>
      </c>
      <c r="K9" s="103">
        <f t="shared" ref="K9:AG9" si="2">K13</f>
        <v>0</v>
      </c>
      <c r="L9" s="103">
        <f t="shared" si="2"/>
        <v>0</v>
      </c>
      <c r="M9" s="103">
        <f t="shared" si="2"/>
        <v>0</v>
      </c>
      <c r="N9" s="103">
        <f t="shared" si="2"/>
        <v>0</v>
      </c>
      <c r="O9" s="103">
        <f t="shared" si="2"/>
        <v>0</v>
      </c>
      <c r="P9" s="103">
        <f t="shared" si="2"/>
        <v>0</v>
      </c>
      <c r="Q9" s="103">
        <f t="shared" si="2"/>
        <v>0</v>
      </c>
      <c r="R9" s="103">
        <f t="shared" si="2"/>
        <v>0</v>
      </c>
      <c r="S9" s="103">
        <f t="shared" si="2"/>
        <v>0</v>
      </c>
      <c r="T9" s="103">
        <f t="shared" si="2"/>
        <v>0</v>
      </c>
      <c r="U9" s="103">
        <f t="shared" si="2"/>
        <v>0</v>
      </c>
      <c r="V9" s="103">
        <f t="shared" si="2"/>
        <v>1178</v>
      </c>
      <c r="W9" s="103">
        <f t="shared" si="2"/>
        <v>0</v>
      </c>
      <c r="X9" s="103">
        <f t="shared" si="2"/>
        <v>0</v>
      </c>
      <c r="Y9" s="103">
        <f t="shared" si="2"/>
        <v>0</v>
      </c>
      <c r="Z9" s="103">
        <f t="shared" si="2"/>
        <v>0</v>
      </c>
      <c r="AA9" s="103">
        <f t="shared" si="2"/>
        <v>0</v>
      </c>
      <c r="AB9" s="103">
        <f t="shared" si="2"/>
        <v>0</v>
      </c>
      <c r="AC9" s="103">
        <f t="shared" si="2"/>
        <v>0</v>
      </c>
      <c r="AD9" s="103">
        <f t="shared" si="2"/>
        <v>0</v>
      </c>
      <c r="AE9" s="103">
        <f t="shared" si="2"/>
        <v>0</v>
      </c>
      <c r="AF9" s="103">
        <f t="shared" si="2"/>
        <v>0</v>
      </c>
      <c r="AG9" s="103">
        <f t="shared" si="2"/>
        <v>0</v>
      </c>
      <c r="AH9" s="60"/>
    </row>
    <row r="10" spans="1:35" s="33" customFormat="1" ht="38.25" customHeight="1" x14ac:dyDescent="0.25">
      <c r="A10" s="443"/>
      <c r="B10" s="363"/>
      <c r="C10" s="101" t="s">
        <v>21</v>
      </c>
      <c r="D10" s="102">
        <f>D15</f>
        <v>1080</v>
      </c>
      <c r="E10" s="102">
        <f>E13+E15</f>
        <v>0</v>
      </c>
      <c r="F10" s="102">
        <f>F13+F15</f>
        <v>0</v>
      </c>
      <c r="G10" s="102">
        <f>G13+G15</f>
        <v>0</v>
      </c>
      <c r="H10" s="102">
        <f>IFERROR(G10/D10*100,0)</f>
        <v>0</v>
      </c>
      <c r="I10" s="102">
        <f>IFERROR(G10/E10*100,0)</f>
        <v>0</v>
      </c>
      <c r="J10" s="103">
        <f>J15</f>
        <v>0</v>
      </c>
      <c r="K10" s="103">
        <f t="shared" ref="K10:AG10" si="3">K15</f>
        <v>0</v>
      </c>
      <c r="L10" s="103">
        <f t="shared" si="3"/>
        <v>0</v>
      </c>
      <c r="M10" s="103">
        <f t="shared" si="3"/>
        <v>0</v>
      </c>
      <c r="N10" s="103">
        <f t="shared" si="3"/>
        <v>0</v>
      </c>
      <c r="O10" s="103">
        <f t="shared" si="3"/>
        <v>0</v>
      </c>
      <c r="P10" s="103">
        <f t="shared" si="3"/>
        <v>0</v>
      </c>
      <c r="Q10" s="103">
        <f t="shared" si="3"/>
        <v>0</v>
      </c>
      <c r="R10" s="103">
        <f t="shared" si="3"/>
        <v>0</v>
      </c>
      <c r="S10" s="103">
        <f t="shared" si="3"/>
        <v>0</v>
      </c>
      <c r="T10" s="103">
        <f t="shared" si="3"/>
        <v>360</v>
      </c>
      <c r="U10" s="103">
        <f t="shared" si="3"/>
        <v>0</v>
      </c>
      <c r="V10" s="103">
        <f t="shared" si="3"/>
        <v>0</v>
      </c>
      <c r="W10" s="103">
        <f t="shared" si="3"/>
        <v>0</v>
      </c>
      <c r="X10" s="103">
        <f t="shared" si="3"/>
        <v>270</v>
      </c>
      <c r="Y10" s="103">
        <f t="shared" si="3"/>
        <v>0</v>
      </c>
      <c r="Z10" s="103">
        <f t="shared" si="3"/>
        <v>0</v>
      </c>
      <c r="AA10" s="103">
        <f t="shared" si="3"/>
        <v>0</v>
      </c>
      <c r="AB10" s="103">
        <f t="shared" si="3"/>
        <v>270</v>
      </c>
      <c r="AC10" s="103">
        <f t="shared" si="3"/>
        <v>0</v>
      </c>
      <c r="AD10" s="103">
        <f t="shared" si="3"/>
        <v>0</v>
      </c>
      <c r="AE10" s="103">
        <f t="shared" si="3"/>
        <v>0</v>
      </c>
      <c r="AF10" s="103">
        <f t="shared" si="3"/>
        <v>180</v>
      </c>
      <c r="AG10" s="103">
        <f t="shared" si="3"/>
        <v>0</v>
      </c>
      <c r="AH10" s="64"/>
    </row>
    <row r="11" spans="1:35" s="33" customFormat="1" ht="18.75" customHeight="1" x14ac:dyDescent="0.25">
      <c r="A11" s="104"/>
      <c r="B11" s="370" t="s">
        <v>149</v>
      </c>
      <c r="C11" s="371"/>
      <c r="D11" s="371"/>
      <c r="E11" s="371"/>
      <c r="F11" s="371"/>
      <c r="G11" s="371"/>
      <c r="H11" s="371"/>
      <c r="I11" s="371"/>
      <c r="J11" s="371"/>
      <c r="K11" s="371"/>
      <c r="L11" s="371"/>
      <c r="M11" s="371"/>
      <c r="N11" s="371"/>
      <c r="O11" s="371"/>
      <c r="P11" s="371"/>
      <c r="Q11" s="371"/>
      <c r="R11" s="371"/>
      <c r="S11" s="371"/>
      <c r="T11" s="371"/>
      <c r="U11" s="371"/>
      <c r="V11" s="371"/>
      <c r="W11" s="371"/>
      <c r="X11" s="371"/>
      <c r="Y11" s="371"/>
      <c r="Z11" s="371"/>
      <c r="AA11" s="371"/>
      <c r="AB11" s="371"/>
      <c r="AC11" s="371"/>
      <c r="AD11" s="371"/>
      <c r="AE11" s="371"/>
      <c r="AF11" s="371"/>
      <c r="AG11" s="372"/>
      <c r="AH11" s="64"/>
    </row>
    <row r="12" spans="1:35" s="100" customFormat="1" ht="85.5" customHeight="1" x14ac:dyDescent="0.25">
      <c r="A12" s="373" t="s">
        <v>37</v>
      </c>
      <c r="B12" s="348" t="s">
        <v>150</v>
      </c>
      <c r="C12" s="97" t="s">
        <v>20</v>
      </c>
      <c r="D12" s="98">
        <f>SUM(D13:D13)</f>
        <v>1178</v>
      </c>
      <c r="E12" s="98">
        <f>SUM(E13:E13)</f>
        <v>0</v>
      </c>
      <c r="F12" s="98">
        <f>SUM(F13:F13)</f>
        <v>0</v>
      </c>
      <c r="G12" s="98">
        <f>SUM(G13:G13)</f>
        <v>0</v>
      </c>
      <c r="H12" s="98">
        <f>IFERROR(G12/D12*100,0)</f>
        <v>0</v>
      </c>
      <c r="I12" s="98">
        <f>IFERROR(G12/E12*100,0)</f>
        <v>0</v>
      </c>
      <c r="J12" s="99">
        <f t="shared" ref="J12:AG12" si="4">SUM(J13:J13)</f>
        <v>0</v>
      </c>
      <c r="K12" s="99">
        <f t="shared" si="4"/>
        <v>0</v>
      </c>
      <c r="L12" s="99">
        <f t="shared" si="4"/>
        <v>0</v>
      </c>
      <c r="M12" s="99">
        <f t="shared" si="4"/>
        <v>0</v>
      </c>
      <c r="N12" s="99">
        <f t="shared" si="4"/>
        <v>0</v>
      </c>
      <c r="O12" s="99">
        <f t="shared" si="4"/>
        <v>0</v>
      </c>
      <c r="P12" s="99">
        <f t="shared" si="4"/>
        <v>0</v>
      </c>
      <c r="Q12" s="99">
        <f t="shared" si="4"/>
        <v>0</v>
      </c>
      <c r="R12" s="99">
        <f t="shared" si="4"/>
        <v>0</v>
      </c>
      <c r="S12" s="99">
        <f t="shared" si="4"/>
        <v>0</v>
      </c>
      <c r="T12" s="99">
        <f t="shared" si="4"/>
        <v>0</v>
      </c>
      <c r="U12" s="99">
        <f t="shared" si="4"/>
        <v>0</v>
      </c>
      <c r="V12" s="99">
        <f t="shared" si="4"/>
        <v>1178</v>
      </c>
      <c r="W12" s="99">
        <f t="shared" si="4"/>
        <v>0</v>
      </c>
      <c r="X12" s="99">
        <f t="shared" si="4"/>
        <v>0</v>
      </c>
      <c r="Y12" s="99">
        <f t="shared" si="4"/>
        <v>0</v>
      </c>
      <c r="Z12" s="99">
        <f t="shared" si="4"/>
        <v>0</v>
      </c>
      <c r="AA12" s="99">
        <f t="shared" si="4"/>
        <v>0</v>
      </c>
      <c r="AB12" s="99">
        <f t="shared" si="4"/>
        <v>0</v>
      </c>
      <c r="AC12" s="99">
        <f t="shared" si="4"/>
        <v>0</v>
      </c>
      <c r="AD12" s="99">
        <f t="shared" si="4"/>
        <v>0</v>
      </c>
      <c r="AE12" s="99">
        <f t="shared" si="4"/>
        <v>0</v>
      </c>
      <c r="AF12" s="99">
        <f t="shared" si="4"/>
        <v>0</v>
      </c>
      <c r="AG12" s="99">
        <f t="shared" si="4"/>
        <v>0</v>
      </c>
      <c r="AH12" s="60"/>
      <c r="AI12" s="105"/>
    </row>
    <row r="13" spans="1:35" s="33" customFormat="1" ht="98.25" customHeight="1" x14ac:dyDescent="0.25">
      <c r="A13" s="375"/>
      <c r="B13" s="350"/>
      <c r="C13" s="101" t="s">
        <v>22</v>
      </c>
      <c r="D13" s="102">
        <f>SUM(J13,L13,N13,P13,R13,T13,V13,X13,Z13,AB13,AD13,AF13)</f>
        <v>1178</v>
      </c>
      <c r="E13" s="102">
        <f>J13+L13+N13+P13</f>
        <v>0</v>
      </c>
      <c r="F13" s="102">
        <f>G13</f>
        <v>0</v>
      </c>
      <c r="G13" s="102">
        <f>SUM(K13,M13,O13,Q13,S13,U13,W13,Y13,AA13,AC13,AE13,AG13)</f>
        <v>0</v>
      </c>
      <c r="H13" s="102">
        <f>IFERROR(G13/D13*100,0)</f>
        <v>0</v>
      </c>
      <c r="I13" s="102">
        <f>IFERROR(G13/E13*100,0)</f>
        <v>0</v>
      </c>
      <c r="J13" s="103">
        <v>0</v>
      </c>
      <c r="K13" s="103">
        <v>0</v>
      </c>
      <c r="L13" s="103">
        <v>0</v>
      </c>
      <c r="M13" s="103">
        <v>0</v>
      </c>
      <c r="N13" s="103">
        <v>0</v>
      </c>
      <c r="O13" s="103">
        <v>0</v>
      </c>
      <c r="P13" s="103">
        <v>0</v>
      </c>
      <c r="Q13" s="103">
        <v>0</v>
      </c>
      <c r="R13" s="103">
        <v>0</v>
      </c>
      <c r="S13" s="103">
        <v>0</v>
      </c>
      <c r="T13" s="103">
        <v>0</v>
      </c>
      <c r="U13" s="103">
        <v>0</v>
      </c>
      <c r="V13" s="103">
        <v>1178</v>
      </c>
      <c r="W13" s="103">
        <v>0</v>
      </c>
      <c r="X13" s="103">
        <v>0</v>
      </c>
      <c r="Y13" s="103">
        <v>0</v>
      </c>
      <c r="Z13" s="103">
        <v>0</v>
      </c>
      <c r="AA13" s="103">
        <v>0</v>
      </c>
      <c r="AB13" s="103">
        <v>0</v>
      </c>
      <c r="AC13" s="103">
        <v>0</v>
      </c>
      <c r="AD13" s="103">
        <v>0</v>
      </c>
      <c r="AE13" s="103">
        <v>0</v>
      </c>
      <c r="AF13" s="103">
        <v>0</v>
      </c>
      <c r="AG13" s="103">
        <v>0</v>
      </c>
      <c r="AH13" s="64"/>
      <c r="AI13" s="106"/>
    </row>
    <row r="14" spans="1:35" s="100" customFormat="1" ht="90.75" customHeight="1" x14ac:dyDescent="0.25">
      <c r="A14" s="373" t="s">
        <v>51</v>
      </c>
      <c r="B14" s="348" t="s">
        <v>151</v>
      </c>
      <c r="C14" s="97" t="s">
        <v>20</v>
      </c>
      <c r="D14" s="98">
        <f>D15</f>
        <v>1080</v>
      </c>
      <c r="E14" s="98">
        <f>SUM(E15:E15)</f>
        <v>0</v>
      </c>
      <c r="F14" s="98">
        <f>SUM(F15:F15)</f>
        <v>0</v>
      </c>
      <c r="G14" s="98">
        <f>SUM(G15:G15)</f>
        <v>0</v>
      </c>
      <c r="H14" s="98">
        <f t="shared" ref="H14:H15" si="5">IFERROR(G14/D14*100,0)</f>
        <v>0</v>
      </c>
      <c r="I14" s="98">
        <f t="shared" ref="I14:I15" si="6">IFERROR(G14/E14*100,0)</f>
        <v>0</v>
      </c>
      <c r="J14" s="99">
        <f t="shared" ref="J14:AG14" si="7">SUM(J15:J15)</f>
        <v>0</v>
      </c>
      <c r="K14" s="99">
        <f t="shared" si="7"/>
        <v>0</v>
      </c>
      <c r="L14" s="99">
        <f t="shared" si="7"/>
        <v>0</v>
      </c>
      <c r="M14" s="99">
        <f t="shared" si="7"/>
        <v>0</v>
      </c>
      <c r="N14" s="99">
        <f t="shared" si="7"/>
        <v>0</v>
      </c>
      <c r="O14" s="99">
        <f t="shared" si="7"/>
        <v>0</v>
      </c>
      <c r="P14" s="99">
        <f t="shared" si="7"/>
        <v>0</v>
      </c>
      <c r="Q14" s="99">
        <f t="shared" si="7"/>
        <v>0</v>
      </c>
      <c r="R14" s="99">
        <f t="shared" si="7"/>
        <v>0</v>
      </c>
      <c r="S14" s="99">
        <f t="shared" si="7"/>
        <v>0</v>
      </c>
      <c r="T14" s="99">
        <f t="shared" si="7"/>
        <v>360</v>
      </c>
      <c r="U14" s="99">
        <f t="shared" si="7"/>
        <v>0</v>
      </c>
      <c r="V14" s="99">
        <f t="shared" si="7"/>
        <v>0</v>
      </c>
      <c r="W14" s="99">
        <f t="shared" si="7"/>
        <v>0</v>
      </c>
      <c r="X14" s="99">
        <f t="shared" si="7"/>
        <v>270</v>
      </c>
      <c r="Y14" s="99">
        <f t="shared" si="7"/>
        <v>0</v>
      </c>
      <c r="Z14" s="99">
        <f t="shared" si="7"/>
        <v>0</v>
      </c>
      <c r="AA14" s="99">
        <f t="shared" si="7"/>
        <v>0</v>
      </c>
      <c r="AB14" s="99">
        <f t="shared" si="7"/>
        <v>270</v>
      </c>
      <c r="AC14" s="99">
        <f t="shared" si="7"/>
        <v>0</v>
      </c>
      <c r="AD14" s="99">
        <f t="shared" si="7"/>
        <v>0</v>
      </c>
      <c r="AE14" s="99">
        <f t="shared" si="7"/>
        <v>0</v>
      </c>
      <c r="AF14" s="99">
        <f t="shared" si="7"/>
        <v>180</v>
      </c>
      <c r="AG14" s="99">
        <f t="shared" si="7"/>
        <v>0</v>
      </c>
      <c r="AH14" s="60"/>
      <c r="AI14" s="106"/>
    </row>
    <row r="15" spans="1:35" s="33" customFormat="1" ht="160.5" customHeight="1" x14ac:dyDescent="0.25">
      <c r="A15" s="375"/>
      <c r="B15" s="350"/>
      <c r="C15" s="101" t="s">
        <v>21</v>
      </c>
      <c r="D15" s="102">
        <f>SUM(J15,L15,N15,P15,R15,T15,V15,X15,Z15,AB15,AD15,AF15)</f>
        <v>1080</v>
      </c>
      <c r="E15" s="102">
        <f>J15+L15+N15+P15</f>
        <v>0</v>
      </c>
      <c r="F15" s="102">
        <f>G15</f>
        <v>0</v>
      </c>
      <c r="G15" s="102">
        <f>SUM(K15,M15,O15,Q15,S15,U15,W15,Y15,AA15,AC15,AE15,AG15)</f>
        <v>0</v>
      </c>
      <c r="H15" s="102">
        <f t="shared" si="5"/>
        <v>0</v>
      </c>
      <c r="I15" s="102">
        <f t="shared" si="6"/>
        <v>0</v>
      </c>
      <c r="J15" s="103">
        <v>0</v>
      </c>
      <c r="K15" s="103">
        <v>0</v>
      </c>
      <c r="L15" s="103">
        <v>0</v>
      </c>
      <c r="M15" s="103">
        <v>0</v>
      </c>
      <c r="N15" s="103">
        <v>0</v>
      </c>
      <c r="O15" s="103">
        <v>0</v>
      </c>
      <c r="P15" s="103">
        <v>0</v>
      </c>
      <c r="Q15" s="103">
        <v>0</v>
      </c>
      <c r="R15" s="103">
        <v>0</v>
      </c>
      <c r="S15" s="103">
        <v>0</v>
      </c>
      <c r="T15" s="103">
        <v>360</v>
      </c>
      <c r="U15" s="103">
        <v>0</v>
      </c>
      <c r="V15" s="103">
        <v>0</v>
      </c>
      <c r="W15" s="103">
        <v>0</v>
      </c>
      <c r="X15" s="103">
        <v>270</v>
      </c>
      <c r="Y15" s="103">
        <v>0</v>
      </c>
      <c r="Z15" s="103">
        <v>0</v>
      </c>
      <c r="AA15" s="103">
        <v>0</v>
      </c>
      <c r="AB15" s="103">
        <v>270</v>
      </c>
      <c r="AC15" s="103">
        <v>0</v>
      </c>
      <c r="AD15" s="103">
        <v>0</v>
      </c>
      <c r="AE15" s="103">
        <v>0</v>
      </c>
      <c r="AF15" s="103">
        <v>180</v>
      </c>
      <c r="AG15" s="103">
        <v>0</v>
      </c>
      <c r="AH15" s="64"/>
      <c r="AI15" s="106"/>
    </row>
  </sheetData>
  <customSheetViews>
    <customSheetView guid="{2940A182-D1A7-43C5-8D6E-965BED4371B0}" scale="80" state="hidden">
      <pane xSplit="6" ySplit="7" topLeftCell="G8" activePane="bottomRight" state="frozen"/>
      <selection pane="bottomRight" activeCell="T23" sqref="T23"/>
      <pageMargins left="0.7" right="0.7" top="0.75" bottom="0.75" header="0.3" footer="0.3"/>
    </customSheetView>
    <customSheetView guid="{BBF6B43F-E0FC-43DF-B91C-674F6AB4B556}" scale="80">
      <pane xSplit="6" ySplit="7" topLeftCell="G8" activePane="bottomRight" state="frozen"/>
      <selection pane="bottomRight" activeCell="T23" sqref="T23"/>
      <pageMargins left="0.7" right="0.7" top="0.75" bottom="0.75" header="0.3" footer="0.3"/>
    </customSheetView>
    <customSheetView guid="{30B635D9-57DB-47D5-8A0F-4B30DD769960}" scale="80">
      <pane xSplit="6" ySplit="7" topLeftCell="G8" activePane="bottomRight" state="frozen"/>
      <selection pane="bottomRight" activeCell="T23" sqref="T23"/>
      <pageMargins left="0.7" right="0.7" top="0.75" bottom="0.75" header="0.3" footer="0.3"/>
    </customSheetView>
    <customSheetView guid="{DAEDC989-02E7-4319-8354-59410ACF3F1F}" scale="80">
      <pane xSplit="6" ySplit="7" topLeftCell="G8" activePane="bottomRight" state="frozen"/>
      <selection pane="bottomRight" activeCell="T23" sqref="T23"/>
      <pageMargins left="0.7" right="0.7" top="0.75" bottom="0.75" header="0.3" footer="0.3"/>
    </customSheetView>
    <customSheetView guid="{21E1D423-7B38-4272-8354-09B4DB62C9EB}" scale="80">
      <pane xSplit="6" ySplit="7" topLeftCell="G8" activePane="bottomRight" state="frozen"/>
      <selection pane="bottomRight" activeCell="T23" sqref="T23"/>
      <pageMargins left="0.7" right="0.7" top="0.75" bottom="0.75" header="0.3" footer="0.3"/>
    </customSheetView>
    <customSheetView guid="{EA46B61D-849C-4795-A4FF-F8F1740022EB}" scale="80">
      <pane xSplit="6" ySplit="7" topLeftCell="G8" activePane="bottomRight" state="frozen"/>
      <selection pane="bottomRight" activeCell="T23" sqref="T23"/>
      <pageMargins left="0.7" right="0.7" top="0.75" bottom="0.75" header="0.3" footer="0.3"/>
    </customSheetView>
    <customSheetView guid="{A0E2FBF6-E560-4343-8BE6-217DC798135B}" scale="80">
      <pane xSplit="6" ySplit="7" topLeftCell="G8" activePane="bottomRight" state="frozen"/>
      <selection pane="bottomRight" activeCell="F6" sqref="F6"/>
      <pageMargins left="0.7" right="0.7" top="0.75" bottom="0.75" header="0.3" footer="0.3"/>
    </customSheetView>
    <customSheetView guid="{20A05A62-CBE8-4538-BBC3-2AD9D3B8FAC0}" scale="80">
      <pane xSplit="6" ySplit="7" topLeftCell="G8" activePane="bottomRight" state="frozen"/>
      <selection pane="bottomRight" activeCell="T23" sqref="T23"/>
      <pageMargins left="0.7" right="0.7" top="0.75" bottom="0.75" header="0.3" footer="0.3"/>
    </customSheetView>
    <customSheetView guid="{A4AF2100-C59D-4F60-9EAB-56D9103463F7}" scale="80">
      <pane xSplit="6" ySplit="7" topLeftCell="G8" activePane="bottomRight" state="frozen"/>
      <selection pane="bottomRight" activeCell="T23" sqref="T23"/>
      <pageMargins left="0.7" right="0.7" top="0.75" bottom="0.75" header="0.3" footer="0.3"/>
    </customSheetView>
    <customSheetView guid="{AB9978E4-895D-4050-8F07-2484E22632D1}" scale="80">
      <pane xSplit="6" ySplit="7" topLeftCell="G8" activePane="bottomRight" state="frozen"/>
      <selection pane="bottomRight" activeCell="T23" sqref="T23"/>
      <pageMargins left="0.7" right="0.7" top="0.75" bottom="0.75" header="0.3" footer="0.3"/>
    </customSheetView>
    <customSheetView guid="{519948E4-0B24-465F-9D9E-44BE50D1D647}" scale="80">
      <pane xSplit="6" ySplit="7" topLeftCell="G8" activePane="bottomRight" state="frozen"/>
      <selection pane="bottomRight" activeCell="T23" sqref="T23"/>
      <pageMargins left="0.7" right="0.7" top="0.75" bottom="0.75" header="0.3" footer="0.3"/>
    </customSheetView>
    <customSheetView guid="{C7DC638A-7F60-46C9-A1FB-9ADEAE87F332}" scale="80">
      <pane xSplit="6" ySplit="7" topLeftCell="G8" activePane="bottomRight" state="frozen"/>
      <selection pane="bottomRight" activeCell="T23" sqref="T23"/>
      <pageMargins left="0.7" right="0.7" top="0.75" bottom="0.75" header="0.3" footer="0.3"/>
    </customSheetView>
    <customSheetView guid="{2A5A11D4-90C6-4A3E-8165-7D7BD634B22F}" scale="80">
      <pane xSplit="6" ySplit="7" topLeftCell="G8" activePane="bottomRight" state="frozen"/>
      <selection pane="bottomRight" activeCell="T23" sqref="T23"/>
      <pageMargins left="0.7" right="0.7" top="0.75" bottom="0.75" header="0.3" footer="0.3"/>
    </customSheetView>
    <customSheetView guid="{562453CE-35F5-40A3-AD14-6399D1197C99}" scale="80">
      <pane xSplit="6" ySplit="7" topLeftCell="G8" activePane="bottomRight" state="frozen"/>
      <selection pane="bottomRight" activeCell="T23" sqref="T23"/>
      <pageMargins left="0.7" right="0.7" top="0.75" bottom="0.75" header="0.3" footer="0.3"/>
    </customSheetView>
    <customSheetView guid="{B6B60ED6-A6CC-4DA7-A8CA-5E6DB52D5A87}" scale="80">
      <pane xSplit="6" ySplit="7" topLeftCell="G8" activePane="bottomRight" state="frozen"/>
      <selection pane="bottomRight" activeCell="T23" sqref="T23"/>
      <pageMargins left="0.7" right="0.7" top="0.75" bottom="0.75" header="0.3" footer="0.3"/>
    </customSheetView>
    <customSheetView guid="{133BB3F8-8DD4-4AEF-8CD6-A5FB14681329}" scale="80">
      <pane xSplit="6" ySplit="7" topLeftCell="G8" activePane="bottomRight" state="frozen"/>
      <selection pane="bottomRight" activeCell="F6" sqref="F6"/>
      <pageMargins left="0.7" right="0.7" top="0.75" bottom="0.75" header="0.3" footer="0.3"/>
    </customSheetView>
    <customSheetView guid="{5DF2C78B-5EE4-439D-8D72-8D3A913B65F9}" scale="80">
      <pane xSplit="6" ySplit="7" topLeftCell="G8" activePane="bottomRight" state="frozen"/>
      <selection pane="bottomRight" activeCell="T23" sqref="T23"/>
      <pageMargins left="0.7" right="0.7" top="0.75" bottom="0.75" header="0.3" footer="0.3"/>
    </customSheetView>
    <customSheetView guid="{60A1F930-4BEC-460A-8E14-01E47F6DD055}" scale="80">
      <pane xSplit="6" ySplit="7" topLeftCell="G23" activePane="bottomRight" state="frozen"/>
      <selection pane="bottomRight" activeCell="T23" sqref="T23"/>
      <pageMargins left="0.7" right="0.7" top="0.75" bottom="0.75" header="0.3" footer="0.3"/>
    </customSheetView>
    <customSheetView guid="{7C5A2A36-3D69-43D9-9018-A52C27EC78F9}" scale="80">
      <pane xSplit="6" ySplit="7" topLeftCell="G8" activePane="bottomRight" state="frozen"/>
      <selection pane="bottomRight" activeCell="G14" sqref="G14"/>
      <pageMargins left="0.7" right="0.7" top="0.75" bottom="0.75" header="0.3" footer="0.3"/>
    </customSheetView>
    <customSheetView guid="{C282AA4E-1BB5-4296-9AC6-844C0F88E5FC}" scale="80">
      <pane xSplit="6" ySplit="7" topLeftCell="G8" activePane="bottomRight" state="frozen"/>
      <selection pane="bottomRight" activeCell="T23" sqref="T23"/>
      <pageMargins left="0.7" right="0.7" top="0.75" bottom="0.75" header="0.3" footer="0.3"/>
    </customSheetView>
    <customSheetView guid="{996EC2F0-F6EC-4E63-A83E-34865157BD8D}" scale="80">
      <pane xSplit="6" ySplit="7" topLeftCell="G8" activePane="bottomRight" state="frozen"/>
      <selection pane="bottomRight" activeCell="T23" sqref="T23"/>
      <pageMargins left="0.7" right="0.7" top="0.75" bottom="0.75" header="0.3" footer="0.3"/>
    </customSheetView>
    <customSheetView guid="{AFADB96A-0516-43C1-9F1B-0604F3CAC04A}" scale="80">
      <pane xSplit="6" ySplit="7" topLeftCell="G8" activePane="bottomRight" state="frozen"/>
      <selection pane="bottomRight" activeCell="T23" sqref="T23"/>
      <pageMargins left="0.7" right="0.7" top="0.75" bottom="0.75" header="0.3" footer="0.3"/>
    </customSheetView>
  </customSheetViews>
  <mergeCells count="30">
    <mergeCell ref="A14:A15"/>
    <mergeCell ref="B14:B15"/>
    <mergeCell ref="AH4:AH6"/>
    <mergeCell ref="A8:A10"/>
    <mergeCell ref="B8:B10"/>
    <mergeCell ref="B11:AG11"/>
    <mergeCell ref="A12:A13"/>
    <mergeCell ref="B12:B13"/>
    <mergeCell ref="V4:W5"/>
    <mergeCell ref="X4:Y5"/>
    <mergeCell ref="Z4:AA5"/>
    <mergeCell ref="AB4:AC5"/>
    <mergeCell ref="AD4:AE5"/>
    <mergeCell ref="AF4:AG5"/>
    <mergeCell ref="J4:K5"/>
    <mergeCell ref="L4:M5"/>
    <mergeCell ref="N4:O5"/>
    <mergeCell ref="P4:Q5"/>
    <mergeCell ref="R4:S5"/>
    <mergeCell ref="T4:U5"/>
    <mergeCell ref="C2:S2"/>
    <mergeCell ref="C3:S3"/>
    <mergeCell ref="F4:F5"/>
    <mergeCell ref="G4:G5"/>
    <mergeCell ref="H4:I5"/>
    <mergeCell ref="A4:A6"/>
    <mergeCell ref="B4:B6"/>
    <mergeCell ref="C4:C6"/>
    <mergeCell ref="D4:D5"/>
    <mergeCell ref="E4:E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49"/>
  <sheetViews>
    <sheetView zoomScale="80" zoomScaleNormal="80" workbookViewId="0">
      <pane xSplit="6" ySplit="7" topLeftCell="G16" activePane="bottomRight" state="frozen"/>
      <selection pane="topRight" activeCell="G1" sqref="G1"/>
      <selection pane="bottomLeft" activeCell="A8" sqref="A8"/>
      <selection pane="bottomRight" activeCell="M28" sqref="M28"/>
    </sheetView>
  </sheetViews>
  <sheetFormatPr defaultColWidth="9.140625" defaultRowHeight="15" x14ac:dyDescent="0.25"/>
  <cols>
    <col min="1" max="1" width="6.5703125" style="8" customWidth="1"/>
    <col min="2" max="2" width="42.140625" style="8" customWidth="1"/>
    <col min="3" max="3" width="18.5703125" style="9" customWidth="1"/>
    <col min="4" max="4" width="18" style="8" customWidth="1"/>
    <col min="5" max="5" width="14.7109375" style="8" customWidth="1"/>
    <col min="6" max="6" width="15" style="8" customWidth="1"/>
    <col min="7" max="7" width="13.85546875" style="8" customWidth="1"/>
    <col min="8" max="8" width="12.140625" style="8" customWidth="1"/>
    <col min="9" max="9" width="10.85546875" style="8" customWidth="1"/>
    <col min="10" max="10" width="14.28515625" style="8" customWidth="1"/>
    <col min="11" max="11" width="13.5703125" style="8" customWidth="1"/>
    <col min="12" max="12" width="13.85546875" style="8" customWidth="1"/>
    <col min="13" max="13" width="13" style="8" customWidth="1"/>
    <col min="14" max="14" width="13.42578125" style="8" customWidth="1"/>
    <col min="15" max="15" width="11.5703125" style="8" customWidth="1"/>
    <col min="16" max="16" width="13.4257812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6.140625" style="8" customWidth="1"/>
    <col min="27" max="27" width="11.5703125" style="8" customWidth="1"/>
    <col min="28" max="28" width="14.85546875" style="8" customWidth="1"/>
    <col min="29" max="29" width="11.5703125" style="8" customWidth="1"/>
    <col min="30" max="30" width="13.42578125" style="8" customWidth="1"/>
    <col min="31" max="33" width="11.5703125" style="8" customWidth="1"/>
    <col min="34" max="34" width="38.5703125" style="8" customWidth="1"/>
    <col min="35" max="16384" width="9.140625" style="8"/>
  </cols>
  <sheetData>
    <row r="1" spans="1:35" s="10" customFormat="1" ht="23.25" customHeight="1" x14ac:dyDescent="0.25">
      <c r="C1" s="12"/>
      <c r="D1" s="13"/>
      <c r="E1" s="13"/>
      <c r="F1" s="13"/>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5" s="10" customFormat="1" ht="15.75" x14ac:dyDescent="0.25">
      <c r="A2" s="55"/>
      <c r="B2" s="55"/>
      <c r="C2" s="346" t="s">
        <v>24</v>
      </c>
      <c r="D2" s="346"/>
      <c r="E2" s="346"/>
      <c r="F2" s="346"/>
      <c r="G2" s="346"/>
      <c r="H2" s="346"/>
      <c r="I2" s="346"/>
      <c r="J2" s="346"/>
      <c r="K2" s="346"/>
      <c r="L2" s="346"/>
      <c r="M2" s="346"/>
      <c r="N2" s="346"/>
      <c r="O2" s="346"/>
      <c r="P2" s="346"/>
      <c r="Q2" s="346"/>
      <c r="R2" s="346"/>
      <c r="S2" s="346"/>
      <c r="T2" s="35"/>
      <c r="U2" s="35"/>
      <c r="V2" s="35"/>
      <c r="W2" s="35"/>
      <c r="X2" s="35"/>
      <c r="Y2" s="35"/>
      <c r="Z2" s="35"/>
      <c r="AA2" s="35"/>
      <c r="AB2" s="35"/>
      <c r="AC2" s="35"/>
      <c r="AD2" s="35"/>
      <c r="AE2" s="35"/>
      <c r="AF2" s="35"/>
      <c r="AG2" s="35"/>
      <c r="AH2" s="35"/>
    </row>
    <row r="3" spans="1:35" s="10" customFormat="1" ht="36.75" customHeight="1" x14ac:dyDescent="0.25">
      <c r="A3" s="55"/>
      <c r="B3" s="55"/>
      <c r="C3" s="347" t="s">
        <v>111</v>
      </c>
      <c r="D3" s="347"/>
      <c r="E3" s="347"/>
      <c r="F3" s="347"/>
      <c r="G3" s="347"/>
      <c r="H3" s="347"/>
      <c r="I3" s="347"/>
      <c r="J3" s="347"/>
      <c r="K3" s="347"/>
      <c r="L3" s="347"/>
      <c r="M3" s="347"/>
      <c r="N3" s="347"/>
      <c r="O3" s="347"/>
      <c r="P3" s="347"/>
      <c r="Q3" s="347"/>
      <c r="R3" s="347"/>
      <c r="S3" s="347"/>
      <c r="T3" s="36"/>
      <c r="U3" s="36"/>
      <c r="V3" s="36"/>
      <c r="W3" s="36"/>
      <c r="X3" s="36"/>
      <c r="Y3" s="36"/>
      <c r="Z3" s="36"/>
      <c r="AA3" s="36"/>
      <c r="AB3" s="36"/>
      <c r="AC3" s="36"/>
      <c r="AD3" s="37"/>
      <c r="AE3" s="37"/>
      <c r="AF3" s="37"/>
      <c r="AG3" s="37" t="s">
        <v>0</v>
      </c>
      <c r="AH3" s="37"/>
    </row>
    <row r="4" spans="1:35" s="10" customFormat="1" ht="15" customHeight="1" x14ac:dyDescent="0.25">
      <c r="A4" s="348" t="s">
        <v>26</v>
      </c>
      <c r="B4" s="351" t="s">
        <v>29</v>
      </c>
      <c r="C4" s="351" t="s">
        <v>30</v>
      </c>
      <c r="D4" s="359"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10" customFormat="1" ht="39" customHeight="1" x14ac:dyDescent="0.25">
      <c r="A5" s="349"/>
      <c r="B5" s="352"/>
      <c r="C5" s="352"/>
      <c r="D5" s="360"/>
      <c r="E5" s="360"/>
      <c r="F5" s="360"/>
      <c r="G5" s="360"/>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5" s="10" customFormat="1" ht="64.5" customHeight="1" x14ac:dyDescent="0.25">
      <c r="A6" s="350"/>
      <c r="B6" s="353"/>
      <c r="C6" s="353"/>
      <c r="D6" s="38">
        <v>2025</v>
      </c>
      <c r="E6" s="39">
        <v>45778</v>
      </c>
      <c r="F6" s="39">
        <v>45778</v>
      </c>
      <c r="G6" s="39">
        <v>45778</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32" customFormat="1" ht="15.75" x14ac:dyDescent="0.25">
      <c r="A7" s="40">
        <v>1</v>
      </c>
      <c r="B7" s="40">
        <v>2</v>
      </c>
      <c r="C7" s="40">
        <v>3</v>
      </c>
      <c r="D7" s="40">
        <v>4</v>
      </c>
      <c r="E7" s="40">
        <v>5</v>
      </c>
      <c r="F7" s="40">
        <v>6</v>
      </c>
      <c r="G7" s="40">
        <v>7</v>
      </c>
      <c r="H7" s="40">
        <v>8</v>
      </c>
      <c r="I7" s="40">
        <v>9</v>
      </c>
      <c r="J7" s="40">
        <v>10</v>
      </c>
      <c r="K7" s="40">
        <v>11</v>
      </c>
      <c r="L7" s="40">
        <v>12</v>
      </c>
      <c r="M7" s="40">
        <v>13</v>
      </c>
      <c r="N7" s="40">
        <v>14</v>
      </c>
      <c r="O7" s="40">
        <v>15</v>
      </c>
      <c r="P7" s="40">
        <v>16</v>
      </c>
      <c r="Q7" s="40">
        <v>17</v>
      </c>
      <c r="R7" s="40">
        <v>18</v>
      </c>
      <c r="S7" s="40">
        <v>19</v>
      </c>
      <c r="T7" s="40">
        <v>20</v>
      </c>
      <c r="U7" s="40">
        <v>21</v>
      </c>
      <c r="V7" s="40">
        <v>22</v>
      </c>
      <c r="W7" s="40">
        <v>23</v>
      </c>
      <c r="X7" s="40">
        <v>24</v>
      </c>
      <c r="Y7" s="40">
        <v>25</v>
      </c>
      <c r="Z7" s="40">
        <v>26</v>
      </c>
      <c r="AA7" s="40">
        <v>27</v>
      </c>
      <c r="AB7" s="40">
        <v>28</v>
      </c>
      <c r="AC7" s="40">
        <v>29</v>
      </c>
      <c r="AD7" s="40">
        <v>30</v>
      </c>
      <c r="AE7" s="40">
        <v>31</v>
      </c>
      <c r="AF7" s="40">
        <v>32</v>
      </c>
      <c r="AG7" s="40">
        <v>33</v>
      </c>
      <c r="AH7" s="40">
        <v>34</v>
      </c>
    </row>
    <row r="8" spans="1:35" s="25" customFormat="1" ht="31.5" customHeight="1" x14ac:dyDescent="0.25">
      <c r="A8" s="447"/>
      <c r="B8" s="450" t="s">
        <v>23</v>
      </c>
      <c r="C8" s="287" t="s">
        <v>20</v>
      </c>
      <c r="D8" s="288">
        <f>D9+D10+D11</f>
        <v>200995.69699999999</v>
      </c>
      <c r="E8" s="288">
        <f t="shared" ref="E8:G8" si="0">E9+E10+E11</f>
        <v>59730.565999999999</v>
      </c>
      <c r="F8" s="288">
        <f t="shared" si="0"/>
        <v>47815.520000000011</v>
      </c>
      <c r="G8" s="288">
        <f t="shared" si="0"/>
        <v>47815.520000000011</v>
      </c>
      <c r="H8" s="288">
        <f>IFERROR(G8/D8*100,0)</f>
        <v>23.789325201325088</v>
      </c>
      <c r="I8" s="288">
        <f>IFERROR(G8/E8*100,0)</f>
        <v>80.052012231057731</v>
      </c>
      <c r="J8" s="289">
        <f>J9+J10+J11</f>
        <v>10599.454</v>
      </c>
      <c r="K8" s="289">
        <f t="shared" ref="K8:AG8" si="1">K9+K10+K11</f>
        <v>7445.97</v>
      </c>
      <c r="L8" s="289">
        <f t="shared" si="1"/>
        <v>22542.92</v>
      </c>
      <c r="M8" s="289">
        <f t="shared" si="1"/>
        <v>22353.97</v>
      </c>
      <c r="N8" s="289">
        <f t="shared" si="1"/>
        <v>7257.6859999999997</v>
      </c>
      <c r="O8" s="289">
        <f t="shared" si="1"/>
        <v>7154.33</v>
      </c>
      <c r="P8" s="289">
        <f t="shared" si="1"/>
        <v>19330.506000000001</v>
      </c>
      <c r="Q8" s="289">
        <f t="shared" si="1"/>
        <v>10861.25</v>
      </c>
      <c r="R8" s="289">
        <f t="shared" si="1"/>
        <v>8380.0319999999992</v>
      </c>
      <c r="S8" s="289">
        <f t="shared" si="1"/>
        <v>0</v>
      </c>
      <c r="T8" s="289">
        <f t="shared" si="1"/>
        <v>9438.0259999999998</v>
      </c>
      <c r="U8" s="289">
        <f t="shared" si="1"/>
        <v>0</v>
      </c>
      <c r="V8" s="289">
        <f t="shared" si="1"/>
        <v>11828.956</v>
      </c>
      <c r="W8" s="289">
        <f t="shared" si="1"/>
        <v>0</v>
      </c>
      <c r="X8" s="289">
        <f t="shared" si="1"/>
        <v>9493.0720000000001</v>
      </c>
      <c r="Y8" s="289">
        <f t="shared" si="1"/>
        <v>0</v>
      </c>
      <c r="Z8" s="289">
        <f t="shared" si="1"/>
        <v>8277.1460000000006</v>
      </c>
      <c r="AA8" s="289">
        <f t="shared" si="1"/>
        <v>0</v>
      </c>
      <c r="AB8" s="289">
        <f t="shared" si="1"/>
        <v>14903.107</v>
      </c>
      <c r="AC8" s="289">
        <f t="shared" si="1"/>
        <v>0</v>
      </c>
      <c r="AD8" s="289">
        <f t="shared" si="1"/>
        <v>8157.74</v>
      </c>
      <c r="AE8" s="289">
        <f t="shared" si="1"/>
        <v>0</v>
      </c>
      <c r="AF8" s="289">
        <f t="shared" si="1"/>
        <v>70787.051999999996</v>
      </c>
      <c r="AG8" s="289">
        <f t="shared" si="1"/>
        <v>0</v>
      </c>
      <c r="AH8" s="367"/>
    </row>
    <row r="9" spans="1:35" s="26" customFormat="1" ht="48.75" customHeight="1" x14ac:dyDescent="0.25">
      <c r="A9" s="448"/>
      <c r="B9" s="451"/>
      <c r="C9" s="73" t="s">
        <v>52</v>
      </c>
      <c r="D9" s="74">
        <f>J9+L9+N9+P9+R9+T9+V9+X9+Z9+AB9+AD9+AF9</f>
        <v>4903.9000000000005</v>
      </c>
      <c r="E9" s="74">
        <f>J9+L9+N9+P9</f>
        <v>204.97</v>
      </c>
      <c r="F9" s="74">
        <f>G9</f>
        <v>204.97</v>
      </c>
      <c r="G9" s="74">
        <f>K9+M9+O9+Q9+S9+U9+W9+Y9+AA9+AC9+AE9+AG9</f>
        <v>204.97</v>
      </c>
      <c r="H9" s="74">
        <f t="shared" ref="H9" si="2">IFERROR(G9/D9*100,0)</f>
        <v>4.1797344970329737</v>
      </c>
      <c r="I9" s="74">
        <f t="shared" ref="I9" si="3">IFERROR(G9/E9*100,0)</f>
        <v>100</v>
      </c>
      <c r="J9" s="74">
        <f>J14+J32</f>
        <v>0</v>
      </c>
      <c r="K9" s="74">
        <f t="shared" ref="K9:AG9" si="4">K14+K32</f>
        <v>0</v>
      </c>
      <c r="L9" s="74">
        <f>L14+L32</f>
        <v>204.97</v>
      </c>
      <c r="M9" s="74">
        <f>M14+M32</f>
        <v>204.97</v>
      </c>
      <c r="N9" s="74">
        <f>N14+N32</f>
        <v>0</v>
      </c>
      <c r="O9" s="74">
        <f t="shared" si="4"/>
        <v>0</v>
      </c>
      <c r="P9" s="74">
        <f t="shared" si="4"/>
        <v>0</v>
      </c>
      <c r="Q9" s="74">
        <f t="shared" si="4"/>
        <v>0</v>
      </c>
      <c r="R9" s="74">
        <f t="shared" si="4"/>
        <v>0</v>
      </c>
      <c r="S9" s="74">
        <f t="shared" si="4"/>
        <v>0</v>
      </c>
      <c r="T9" s="74">
        <f t="shared" si="4"/>
        <v>0</v>
      </c>
      <c r="U9" s="74">
        <f t="shared" si="4"/>
        <v>0</v>
      </c>
      <c r="V9" s="74">
        <f t="shared" si="4"/>
        <v>0</v>
      </c>
      <c r="W9" s="74">
        <f t="shared" si="4"/>
        <v>0</v>
      </c>
      <c r="X9" s="74">
        <f t="shared" si="4"/>
        <v>0</v>
      </c>
      <c r="Y9" s="74">
        <f t="shared" si="4"/>
        <v>0</v>
      </c>
      <c r="Z9" s="74">
        <f t="shared" si="4"/>
        <v>0</v>
      </c>
      <c r="AA9" s="74">
        <f t="shared" si="4"/>
        <v>0</v>
      </c>
      <c r="AB9" s="74">
        <f t="shared" si="4"/>
        <v>0</v>
      </c>
      <c r="AC9" s="74">
        <f t="shared" si="4"/>
        <v>0</v>
      </c>
      <c r="AD9" s="74">
        <f t="shared" si="4"/>
        <v>0</v>
      </c>
      <c r="AE9" s="74">
        <f t="shared" si="4"/>
        <v>0</v>
      </c>
      <c r="AF9" s="74">
        <f t="shared" si="4"/>
        <v>4698.93</v>
      </c>
      <c r="AG9" s="74">
        <f t="shared" si="4"/>
        <v>0</v>
      </c>
      <c r="AH9" s="368"/>
    </row>
    <row r="10" spans="1:35" s="26" customFormat="1" ht="57.75" customHeight="1" x14ac:dyDescent="0.25">
      <c r="A10" s="448"/>
      <c r="B10" s="451"/>
      <c r="C10" s="73" t="s">
        <v>22</v>
      </c>
      <c r="D10" s="74">
        <f t="shared" ref="D10:D11" si="5">J10+L10+N10+P10+R10+T10+V10+X10+Z10+AB10+AD10+AF10</f>
        <v>66333.3</v>
      </c>
      <c r="E10" s="74">
        <f>J10+L10+N10+P10</f>
        <v>12132.92</v>
      </c>
      <c r="F10" s="74">
        <f t="shared" ref="F10:F11" si="6">G10</f>
        <v>5240.8999999999996</v>
      </c>
      <c r="G10" s="74">
        <f t="shared" ref="G10:G11" si="7">K10+M10+O10+Q10+S10+U10+W10+Y10+AA10+AC10+AE10+AG10</f>
        <v>5240.8999999999996</v>
      </c>
      <c r="H10" s="74">
        <f>IFERROR(G10/D10*100,0)</f>
        <v>7.900858241637307</v>
      </c>
      <c r="I10" s="74">
        <f>IFERROR(G10/E10*100,0)</f>
        <v>43.195702271176266</v>
      </c>
      <c r="J10" s="74">
        <f>J15+J19+J33</f>
        <v>0</v>
      </c>
      <c r="K10" s="74">
        <f t="shared" ref="K10:AG10" si="8">K15+K19+K33</f>
        <v>0</v>
      </c>
      <c r="L10" s="74">
        <f t="shared" si="8"/>
        <v>3261.82</v>
      </c>
      <c r="M10" s="74">
        <f t="shared" si="8"/>
        <v>3261.82</v>
      </c>
      <c r="N10" s="74">
        <f t="shared" si="8"/>
        <v>2.1</v>
      </c>
      <c r="O10" s="74">
        <f t="shared" si="8"/>
        <v>2.1</v>
      </c>
      <c r="P10" s="74">
        <f t="shared" si="8"/>
        <v>8869</v>
      </c>
      <c r="Q10" s="74">
        <f t="shared" si="8"/>
        <v>1976.98</v>
      </c>
      <c r="R10" s="74">
        <f t="shared" si="8"/>
        <v>0</v>
      </c>
      <c r="S10" s="74">
        <f t="shared" si="8"/>
        <v>0</v>
      </c>
      <c r="T10" s="74">
        <f t="shared" si="8"/>
        <v>0</v>
      </c>
      <c r="U10" s="74">
        <f t="shared" si="8"/>
        <v>0</v>
      </c>
      <c r="V10" s="74">
        <f t="shared" si="8"/>
        <v>0</v>
      </c>
      <c r="W10" s="74">
        <f t="shared" si="8"/>
        <v>0</v>
      </c>
      <c r="X10" s="74">
        <f t="shared" si="8"/>
        <v>0</v>
      </c>
      <c r="Y10" s="74">
        <f t="shared" si="8"/>
        <v>0</v>
      </c>
      <c r="Z10" s="74">
        <f t="shared" si="8"/>
        <v>0</v>
      </c>
      <c r="AA10" s="74">
        <f t="shared" si="8"/>
        <v>0</v>
      </c>
      <c r="AB10" s="74">
        <f t="shared" si="8"/>
        <v>4297.6000000000004</v>
      </c>
      <c r="AC10" s="74">
        <f t="shared" si="8"/>
        <v>0</v>
      </c>
      <c r="AD10" s="74">
        <f t="shared" si="8"/>
        <v>0</v>
      </c>
      <c r="AE10" s="74">
        <f t="shared" si="8"/>
        <v>0</v>
      </c>
      <c r="AF10" s="74">
        <f t="shared" si="8"/>
        <v>49902.78</v>
      </c>
      <c r="AG10" s="74">
        <f t="shared" si="8"/>
        <v>0</v>
      </c>
      <c r="AH10" s="368"/>
    </row>
    <row r="11" spans="1:35" s="26" customFormat="1" ht="41.25" customHeight="1" x14ac:dyDescent="0.25">
      <c r="A11" s="449"/>
      <c r="B11" s="452"/>
      <c r="C11" s="73" t="s">
        <v>21</v>
      </c>
      <c r="D11" s="74">
        <f t="shared" si="5"/>
        <v>129758.497</v>
      </c>
      <c r="E11" s="74">
        <f>J11+L11+N11+P11</f>
        <v>47392.675999999999</v>
      </c>
      <c r="F11" s="74">
        <f t="shared" si="6"/>
        <v>42369.650000000009</v>
      </c>
      <c r="G11" s="74">
        <f t="shared" si="7"/>
        <v>42369.650000000009</v>
      </c>
      <c r="H11" s="74">
        <f>IFERROR(G11/D11*100,0)</f>
        <v>32.652697880740718</v>
      </c>
      <c r="I11" s="74">
        <f>IFERROR(G11/E11*100,0)</f>
        <v>89.401261072491479</v>
      </c>
      <c r="J11" s="74">
        <f>J16+J20+J41+J47</f>
        <v>10599.454</v>
      </c>
      <c r="K11" s="74">
        <f t="shared" ref="K11:AG11" si="9">K16+K20+K41+K47</f>
        <v>7445.97</v>
      </c>
      <c r="L11" s="74">
        <f t="shared" si="9"/>
        <v>19076.129999999997</v>
      </c>
      <c r="M11" s="74">
        <f t="shared" si="9"/>
        <v>18887.18</v>
      </c>
      <c r="N11" s="74">
        <f t="shared" si="9"/>
        <v>7255.5859999999993</v>
      </c>
      <c r="O11" s="74">
        <f t="shared" si="9"/>
        <v>7152.23</v>
      </c>
      <c r="P11" s="74">
        <f t="shared" si="9"/>
        <v>10461.506000000001</v>
      </c>
      <c r="Q11" s="74">
        <f t="shared" si="9"/>
        <v>8884.27</v>
      </c>
      <c r="R11" s="74">
        <f t="shared" si="9"/>
        <v>8380.0319999999992</v>
      </c>
      <c r="S11" s="74">
        <f t="shared" si="9"/>
        <v>0</v>
      </c>
      <c r="T11" s="74">
        <f t="shared" si="9"/>
        <v>9438.0259999999998</v>
      </c>
      <c r="U11" s="74">
        <f t="shared" si="9"/>
        <v>0</v>
      </c>
      <c r="V11" s="74">
        <f t="shared" si="9"/>
        <v>11828.956</v>
      </c>
      <c r="W11" s="74">
        <f t="shared" si="9"/>
        <v>0</v>
      </c>
      <c r="X11" s="74">
        <f t="shared" si="9"/>
        <v>9493.0720000000001</v>
      </c>
      <c r="Y11" s="74">
        <f t="shared" si="9"/>
        <v>0</v>
      </c>
      <c r="Z11" s="74">
        <f t="shared" si="9"/>
        <v>8277.1460000000006</v>
      </c>
      <c r="AA11" s="74">
        <f t="shared" si="9"/>
        <v>0</v>
      </c>
      <c r="AB11" s="74">
        <f t="shared" si="9"/>
        <v>10605.507</v>
      </c>
      <c r="AC11" s="74">
        <f t="shared" si="9"/>
        <v>0</v>
      </c>
      <c r="AD11" s="74">
        <f t="shared" si="9"/>
        <v>8157.74</v>
      </c>
      <c r="AE11" s="74">
        <f t="shared" si="9"/>
        <v>0</v>
      </c>
      <c r="AF11" s="74">
        <f t="shared" si="9"/>
        <v>16185.342000000001</v>
      </c>
      <c r="AG11" s="74">
        <f t="shared" si="9"/>
        <v>0</v>
      </c>
      <c r="AH11" s="369"/>
    </row>
    <row r="12" spans="1:35" s="18" customFormat="1" ht="18.75" customHeight="1" x14ac:dyDescent="0.25">
      <c r="A12" s="68"/>
      <c r="B12" s="370" t="s">
        <v>57</v>
      </c>
      <c r="C12" s="371"/>
      <c r="D12" s="371"/>
      <c r="E12" s="371"/>
      <c r="F12" s="371"/>
      <c r="G12" s="371"/>
      <c r="H12" s="371"/>
      <c r="I12" s="371"/>
      <c r="J12" s="371"/>
      <c r="K12" s="371"/>
      <c r="L12" s="371"/>
      <c r="M12" s="371"/>
      <c r="N12" s="371"/>
      <c r="O12" s="371"/>
      <c r="P12" s="371"/>
      <c r="Q12" s="371"/>
      <c r="R12" s="371"/>
      <c r="S12" s="371"/>
      <c r="T12" s="371"/>
      <c r="U12" s="371"/>
      <c r="V12" s="371"/>
      <c r="W12" s="371"/>
      <c r="X12" s="371"/>
      <c r="Y12" s="371"/>
      <c r="Z12" s="371"/>
      <c r="AA12" s="371"/>
      <c r="AB12" s="371"/>
      <c r="AC12" s="371"/>
      <c r="AD12" s="371"/>
      <c r="AE12" s="371"/>
      <c r="AF12" s="371"/>
      <c r="AG12" s="372"/>
      <c r="AH12" s="46"/>
    </row>
    <row r="13" spans="1:35" s="21" customFormat="1" ht="31.5" customHeight="1" x14ac:dyDescent="0.25">
      <c r="A13" s="420" t="s">
        <v>50</v>
      </c>
      <c r="B13" s="423" t="s">
        <v>58</v>
      </c>
      <c r="C13" s="81" t="s">
        <v>20</v>
      </c>
      <c r="D13" s="82">
        <f>D15+D16+D14</f>
        <v>8971.4</v>
      </c>
      <c r="E13" s="82">
        <f t="shared" ref="E13:AG13" si="10">E15+E16+E14</f>
        <v>3649.27</v>
      </c>
      <c r="F13" s="82">
        <f t="shared" si="10"/>
        <v>3649.27</v>
      </c>
      <c r="G13" s="82">
        <f t="shared" si="10"/>
        <v>3649.27</v>
      </c>
      <c r="H13" s="82">
        <f t="shared" ref="H13:H33" si="11">IFERROR(G13/D13*100,0)</f>
        <v>40.676705976770627</v>
      </c>
      <c r="I13" s="82">
        <f t="shared" ref="I13:I33" si="12">IFERROR(G13/E13*100,0)</f>
        <v>100</v>
      </c>
      <c r="J13" s="82">
        <f t="shared" si="10"/>
        <v>0</v>
      </c>
      <c r="K13" s="82">
        <f t="shared" si="10"/>
        <v>0</v>
      </c>
      <c r="L13" s="82">
        <f t="shared" si="10"/>
        <v>3649.27</v>
      </c>
      <c r="M13" s="82">
        <f t="shared" si="10"/>
        <v>3649.27</v>
      </c>
      <c r="N13" s="82">
        <f t="shared" si="10"/>
        <v>0</v>
      </c>
      <c r="O13" s="82">
        <f t="shared" si="10"/>
        <v>0</v>
      </c>
      <c r="P13" s="82">
        <f t="shared" si="10"/>
        <v>0</v>
      </c>
      <c r="Q13" s="82">
        <f t="shared" si="10"/>
        <v>0</v>
      </c>
      <c r="R13" s="82">
        <f t="shared" si="10"/>
        <v>0</v>
      </c>
      <c r="S13" s="82">
        <f t="shared" si="10"/>
        <v>0</v>
      </c>
      <c r="T13" s="82">
        <f t="shared" si="10"/>
        <v>0</v>
      </c>
      <c r="U13" s="82">
        <f t="shared" si="10"/>
        <v>0</v>
      </c>
      <c r="V13" s="82">
        <f t="shared" si="10"/>
        <v>0</v>
      </c>
      <c r="W13" s="82">
        <f t="shared" si="10"/>
        <v>0</v>
      </c>
      <c r="X13" s="82">
        <f t="shared" si="10"/>
        <v>0</v>
      </c>
      <c r="Y13" s="82">
        <f t="shared" si="10"/>
        <v>0</v>
      </c>
      <c r="Z13" s="82">
        <f t="shared" si="10"/>
        <v>0</v>
      </c>
      <c r="AA13" s="82">
        <f t="shared" si="10"/>
        <v>0</v>
      </c>
      <c r="AB13" s="82">
        <f t="shared" si="10"/>
        <v>0</v>
      </c>
      <c r="AC13" s="82">
        <f t="shared" si="10"/>
        <v>0</v>
      </c>
      <c r="AD13" s="82">
        <f t="shared" si="10"/>
        <v>0</v>
      </c>
      <c r="AE13" s="82">
        <f t="shared" si="10"/>
        <v>0</v>
      </c>
      <c r="AF13" s="82">
        <f t="shared" si="10"/>
        <v>5322.13</v>
      </c>
      <c r="AG13" s="82">
        <f t="shared" si="10"/>
        <v>0</v>
      </c>
      <c r="AH13" s="376" t="s">
        <v>371</v>
      </c>
      <c r="AI13" s="23"/>
    </row>
    <row r="14" spans="1:35" s="21" customFormat="1" ht="78.75" customHeight="1" x14ac:dyDescent="0.25">
      <c r="A14" s="421"/>
      <c r="B14" s="424"/>
      <c r="C14" s="61" t="s">
        <v>52</v>
      </c>
      <c r="D14" s="62">
        <f>SUM(J14,L14,N14,P14,R14,T14,V14,X14,Z14,AB14,AD14,AF14)</f>
        <v>503.9</v>
      </c>
      <c r="E14" s="62">
        <f>J14+L14+N14+P14</f>
        <v>204.97</v>
      </c>
      <c r="F14" s="62">
        <f>G14</f>
        <v>204.97</v>
      </c>
      <c r="G14" s="62">
        <f>SUM(K14,M14,O14,Q14,S14,U14,W14,Y14,AA14,AC14,AE14,AG14)</f>
        <v>204.97</v>
      </c>
      <c r="H14" s="62">
        <f t="shared" si="11"/>
        <v>40.67672157174043</v>
      </c>
      <c r="I14" s="62">
        <f t="shared" si="12"/>
        <v>100</v>
      </c>
      <c r="J14" s="62">
        <v>0</v>
      </c>
      <c r="K14" s="62">
        <v>0</v>
      </c>
      <c r="L14" s="62">
        <v>204.97</v>
      </c>
      <c r="M14" s="62">
        <v>204.97</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298.93</v>
      </c>
      <c r="AG14" s="62">
        <v>0</v>
      </c>
      <c r="AH14" s="377"/>
      <c r="AI14" s="23"/>
    </row>
    <row r="15" spans="1:35" s="21" customFormat="1" ht="113.25" customHeight="1" x14ac:dyDescent="0.25">
      <c r="A15" s="421"/>
      <c r="B15" s="424"/>
      <c r="C15" s="61" t="s">
        <v>22</v>
      </c>
      <c r="D15" s="62">
        <f>SUM(J15,L15,N15,P15,R15,T15,V15,X15,Z15,AB15,AD15,AF15)</f>
        <v>8018.9</v>
      </c>
      <c r="E15" s="62">
        <f>J15+L15+N15+P15</f>
        <v>3261.82</v>
      </c>
      <c r="F15" s="62">
        <f>G15</f>
        <v>3261.82</v>
      </c>
      <c r="G15" s="62">
        <f>SUM(K15,M15,O15,Q15,S15,U15,W15,Y15,AA15,AC15,AE15,AG15)</f>
        <v>3261.82</v>
      </c>
      <c r="H15" s="62">
        <f t="shared" si="11"/>
        <v>40.676651411041419</v>
      </c>
      <c r="I15" s="62">
        <f t="shared" si="12"/>
        <v>100</v>
      </c>
      <c r="J15" s="63">
        <v>0</v>
      </c>
      <c r="K15" s="63">
        <v>0</v>
      </c>
      <c r="L15" s="63">
        <v>3261.82</v>
      </c>
      <c r="M15" s="63">
        <v>3261.82</v>
      </c>
      <c r="N15" s="63">
        <v>0</v>
      </c>
      <c r="O15" s="63">
        <v>0</v>
      </c>
      <c r="P15" s="63">
        <v>0</v>
      </c>
      <c r="Q15" s="63">
        <v>0</v>
      </c>
      <c r="R15" s="63">
        <v>0</v>
      </c>
      <c r="S15" s="63">
        <v>0</v>
      </c>
      <c r="T15" s="63">
        <v>0</v>
      </c>
      <c r="U15" s="63">
        <v>0</v>
      </c>
      <c r="V15" s="63">
        <v>0</v>
      </c>
      <c r="W15" s="63">
        <v>0</v>
      </c>
      <c r="X15" s="63">
        <v>0</v>
      </c>
      <c r="Y15" s="63">
        <v>0</v>
      </c>
      <c r="Z15" s="63">
        <v>0</v>
      </c>
      <c r="AA15" s="63">
        <v>0</v>
      </c>
      <c r="AB15" s="63">
        <v>0</v>
      </c>
      <c r="AC15" s="63">
        <v>0</v>
      </c>
      <c r="AD15" s="63">
        <v>0</v>
      </c>
      <c r="AE15" s="63">
        <v>0</v>
      </c>
      <c r="AF15" s="63">
        <v>4757.08</v>
      </c>
      <c r="AG15" s="63">
        <v>0</v>
      </c>
      <c r="AH15" s="377"/>
      <c r="AI15" s="23"/>
    </row>
    <row r="16" spans="1:35" s="22" customFormat="1" ht="87" customHeight="1" x14ac:dyDescent="0.25">
      <c r="A16" s="422"/>
      <c r="B16" s="425"/>
      <c r="C16" s="61" t="s">
        <v>21</v>
      </c>
      <c r="D16" s="62">
        <f>SUM(J16,L16,N16,P16,R16,T16,V16,X16,Z16,AB16,AD16,AF16)</f>
        <v>448.6</v>
      </c>
      <c r="E16" s="62">
        <f>J16+L16+N16+P16</f>
        <v>182.48</v>
      </c>
      <c r="F16" s="62">
        <f>G16</f>
        <v>182.48</v>
      </c>
      <c r="G16" s="62">
        <f>SUM(K16,M16,O16,Q16,S16,U16,W16,Y16,AA16,AC16,AE16,AG16)</f>
        <v>182.48</v>
      </c>
      <c r="H16" s="62">
        <f t="shared" si="11"/>
        <v>40.677663843067322</v>
      </c>
      <c r="I16" s="62">
        <f t="shared" si="12"/>
        <v>100</v>
      </c>
      <c r="J16" s="67">
        <v>0</v>
      </c>
      <c r="K16" s="67">
        <v>0</v>
      </c>
      <c r="L16" s="67">
        <v>182.48</v>
      </c>
      <c r="M16" s="67">
        <v>182.48</v>
      </c>
      <c r="N16" s="67">
        <v>0</v>
      </c>
      <c r="O16" s="67">
        <v>0</v>
      </c>
      <c r="P16" s="67">
        <v>0</v>
      </c>
      <c r="Q16" s="67">
        <v>0</v>
      </c>
      <c r="R16" s="67">
        <v>0</v>
      </c>
      <c r="S16" s="67">
        <v>0</v>
      </c>
      <c r="T16" s="67">
        <v>0</v>
      </c>
      <c r="U16" s="67">
        <v>0</v>
      </c>
      <c r="V16" s="67">
        <v>0</v>
      </c>
      <c r="W16" s="67">
        <v>0</v>
      </c>
      <c r="X16" s="67">
        <v>0</v>
      </c>
      <c r="Y16" s="67">
        <v>0</v>
      </c>
      <c r="Z16" s="67">
        <v>0</v>
      </c>
      <c r="AA16" s="67">
        <v>0</v>
      </c>
      <c r="AB16" s="67">
        <v>0</v>
      </c>
      <c r="AC16" s="67">
        <v>0</v>
      </c>
      <c r="AD16" s="67">
        <v>0</v>
      </c>
      <c r="AE16" s="67">
        <v>0</v>
      </c>
      <c r="AF16" s="67">
        <v>266.12</v>
      </c>
      <c r="AG16" s="67">
        <v>0</v>
      </c>
      <c r="AH16" s="378"/>
      <c r="AI16" s="20"/>
    </row>
    <row r="17" spans="1:35" s="22" customFormat="1" ht="23.25" customHeight="1" x14ac:dyDescent="0.25">
      <c r="A17" s="88"/>
      <c r="B17" s="370" t="s">
        <v>67</v>
      </c>
      <c r="C17" s="371"/>
      <c r="D17" s="371"/>
      <c r="E17" s="371"/>
      <c r="F17" s="371"/>
      <c r="G17" s="371"/>
      <c r="H17" s="371"/>
      <c r="I17" s="371"/>
      <c r="J17" s="371"/>
      <c r="K17" s="371"/>
      <c r="L17" s="371"/>
      <c r="M17" s="371"/>
      <c r="N17" s="371"/>
      <c r="O17" s="371"/>
      <c r="P17" s="371"/>
      <c r="Q17" s="371"/>
      <c r="R17" s="371"/>
      <c r="S17" s="371"/>
      <c r="T17" s="371"/>
      <c r="U17" s="371"/>
      <c r="V17" s="371"/>
      <c r="W17" s="371"/>
      <c r="X17" s="371"/>
      <c r="Y17" s="371"/>
      <c r="Z17" s="371"/>
      <c r="AA17" s="371"/>
      <c r="AB17" s="371"/>
      <c r="AC17" s="371"/>
      <c r="AD17" s="371"/>
      <c r="AE17" s="371"/>
      <c r="AF17" s="371"/>
      <c r="AG17" s="372"/>
      <c r="AH17" s="64"/>
      <c r="AI17" s="20"/>
    </row>
    <row r="18" spans="1:35" s="22" customFormat="1" ht="28.5" customHeight="1" x14ac:dyDescent="0.25">
      <c r="A18" s="444" t="s">
        <v>38</v>
      </c>
      <c r="B18" s="423" t="s">
        <v>59</v>
      </c>
      <c r="C18" s="81" t="s">
        <v>20</v>
      </c>
      <c r="D18" s="82">
        <f>D20+D19</f>
        <v>73070.599999999991</v>
      </c>
      <c r="E18" s="82">
        <f t="shared" ref="E18:G18" si="13">E20+E19</f>
        <v>17787.2</v>
      </c>
      <c r="F18" s="82">
        <f t="shared" si="13"/>
        <v>10213.51</v>
      </c>
      <c r="G18" s="82">
        <f t="shared" si="13"/>
        <v>10213.51</v>
      </c>
      <c r="H18" s="82">
        <f t="shared" si="11"/>
        <v>13.977591534762274</v>
      </c>
      <c r="I18" s="82">
        <f t="shared" si="12"/>
        <v>57.420560852748039</v>
      </c>
      <c r="J18" s="83">
        <f>J20+J19</f>
        <v>0</v>
      </c>
      <c r="K18" s="83">
        <f t="shared" ref="K18:AG18" si="14">K20+K19</f>
        <v>0</v>
      </c>
      <c r="L18" s="83">
        <f t="shared" si="14"/>
        <v>8041</v>
      </c>
      <c r="M18" s="83">
        <f t="shared" si="14"/>
        <v>8041</v>
      </c>
      <c r="N18" s="83">
        <f t="shared" si="14"/>
        <v>0</v>
      </c>
      <c r="O18" s="83">
        <f t="shared" si="14"/>
        <v>0</v>
      </c>
      <c r="P18" s="83">
        <f t="shared" si="14"/>
        <v>9746.2000000000007</v>
      </c>
      <c r="Q18" s="83">
        <f t="shared" si="14"/>
        <v>2172.5100000000002</v>
      </c>
      <c r="R18" s="83">
        <f t="shared" si="14"/>
        <v>0</v>
      </c>
      <c r="S18" s="83">
        <f t="shared" si="14"/>
        <v>0</v>
      </c>
      <c r="T18" s="83">
        <f t="shared" si="14"/>
        <v>0</v>
      </c>
      <c r="U18" s="83">
        <f t="shared" si="14"/>
        <v>0</v>
      </c>
      <c r="V18" s="83">
        <f t="shared" si="14"/>
        <v>0</v>
      </c>
      <c r="W18" s="83">
        <f t="shared" si="14"/>
        <v>0</v>
      </c>
      <c r="X18" s="83">
        <f t="shared" si="14"/>
        <v>0</v>
      </c>
      <c r="Y18" s="83">
        <f t="shared" si="14"/>
        <v>0</v>
      </c>
      <c r="Z18" s="83">
        <f t="shared" si="14"/>
        <v>0</v>
      </c>
      <c r="AA18" s="83">
        <f t="shared" si="14"/>
        <v>0</v>
      </c>
      <c r="AB18" s="83">
        <f t="shared" si="14"/>
        <v>4722.7000000000007</v>
      </c>
      <c r="AC18" s="83">
        <f t="shared" si="14"/>
        <v>0</v>
      </c>
      <c r="AD18" s="83">
        <f t="shared" si="14"/>
        <v>0</v>
      </c>
      <c r="AE18" s="83">
        <f t="shared" si="14"/>
        <v>0</v>
      </c>
      <c r="AF18" s="83">
        <f t="shared" si="14"/>
        <v>50560.7</v>
      </c>
      <c r="AG18" s="83">
        <f t="shared" si="14"/>
        <v>0</v>
      </c>
      <c r="AH18" s="361"/>
      <c r="AI18" s="20"/>
    </row>
    <row r="19" spans="1:35" s="26" customFormat="1" ht="55.5" customHeight="1" x14ac:dyDescent="0.25">
      <c r="A19" s="445"/>
      <c r="B19" s="424"/>
      <c r="C19" s="73" t="s">
        <v>22</v>
      </c>
      <c r="D19" s="74">
        <f>SUM(J19,L19,N19,P19,R19,T19,V19,X19,Z19,AB19,AD19,AF19)</f>
        <v>58312.299999999996</v>
      </c>
      <c r="E19" s="74">
        <f>J19+L19+N19+P19</f>
        <v>8869</v>
      </c>
      <c r="F19" s="74">
        <f>G19</f>
        <v>1976.98</v>
      </c>
      <c r="G19" s="74">
        <f>SUM(K19,M19,O19,Q19,S19,U19,W19,Y19,AA19,AC19,AE19,AG19)</f>
        <v>1976.98</v>
      </c>
      <c r="H19" s="74">
        <f>IFERROR(G19/D19*100,0)</f>
        <v>3.3903310279306424</v>
      </c>
      <c r="I19" s="74">
        <f>IFERROR(G19/E19*100,0)</f>
        <v>22.290900890743039</v>
      </c>
      <c r="J19" s="67">
        <f>J22+J25+J28</f>
        <v>0</v>
      </c>
      <c r="K19" s="67">
        <f t="shared" ref="K19:AG19" si="15">K22+K25+K28</f>
        <v>0</v>
      </c>
      <c r="L19" s="67">
        <f t="shared" si="15"/>
        <v>0</v>
      </c>
      <c r="M19" s="67">
        <f t="shared" si="15"/>
        <v>0</v>
      </c>
      <c r="N19" s="67">
        <f t="shared" si="15"/>
        <v>0</v>
      </c>
      <c r="O19" s="67">
        <f t="shared" si="15"/>
        <v>0</v>
      </c>
      <c r="P19" s="67">
        <f t="shared" si="15"/>
        <v>8869</v>
      </c>
      <c r="Q19" s="67">
        <f t="shared" si="15"/>
        <v>1976.98</v>
      </c>
      <c r="R19" s="67">
        <f t="shared" si="15"/>
        <v>0</v>
      </c>
      <c r="S19" s="67">
        <f t="shared" si="15"/>
        <v>0</v>
      </c>
      <c r="T19" s="67">
        <f t="shared" si="15"/>
        <v>0</v>
      </c>
      <c r="U19" s="67">
        <f t="shared" si="15"/>
        <v>0</v>
      </c>
      <c r="V19" s="67">
        <f t="shared" si="15"/>
        <v>0</v>
      </c>
      <c r="W19" s="67">
        <f t="shared" si="15"/>
        <v>0</v>
      </c>
      <c r="X19" s="67">
        <f t="shared" si="15"/>
        <v>0</v>
      </c>
      <c r="Y19" s="67">
        <f t="shared" si="15"/>
        <v>0</v>
      </c>
      <c r="Z19" s="67">
        <f t="shared" si="15"/>
        <v>0</v>
      </c>
      <c r="AA19" s="67">
        <f t="shared" si="15"/>
        <v>0</v>
      </c>
      <c r="AB19" s="67">
        <f t="shared" si="15"/>
        <v>4297.6000000000004</v>
      </c>
      <c r="AC19" s="67">
        <f t="shared" si="15"/>
        <v>0</v>
      </c>
      <c r="AD19" s="67">
        <f t="shared" si="15"/>
        <v>0</v>
      </c>
      <c r="AE19" s="67">
        <f t="shared" si="15"/>
        <v>0</v>
      </c>
      <c r="AF19" s="67">
        <f t="shared" si="15"/>
        <v>45145.7</v>
      </c>
      <c r="AG19" s="67">
        <f t="shared" si="15"/>
        <v>0</v>
      </c>
      <c r="AH19" s="362"/>
      <c r="AI19" s="24"/>
    </row>
    <row r="20" spans="1:35" s="26" customFormat="1" ht="37.5" customHeight="1" x14ac:dyDescent="0.25">
      <c r="A20" s="421"/>
      <c r="B20" s="424"/>
      <c r="C20" s="73" t="s">
        <v>21</v>
      </c>
      <c r="D20" s="74">
        <f>SUM(J20,L20,N20,P20,R20,T20,V20,X20,Z20,AB20,AD20,AF20)</f>
        <v>14758.300000000001</v>
      </c>
      <c r="E20" s="74">
        <f>J20+L20+N20+P20</f>
        <v>8918.2000000000007</v>
      </c>
      <c r="F20" s="74">
        <f>G20</f>
        <v>8236.5300000000007</v>
      </c>
      <c r="G20" s="74">
        <f>SUM(K20,M20,O20,Q20,S20,U20,W20,Y20,AA20,AC20,AE20,AG20)</f>
        <v>8236.5300000000007</v>
      </c>
      <c r="H20" s="74">
        <f>IFERROR(G20/D20*100,0)</f>
        <v>55.809476701246076</v>
      </c>
      <c r="I20" s="74">
        <f>IFERROR(G20/E20*100,0)</f>
        <v>92.356417214236046</v>
      </c>
      <c r="J20" s="67">
        <f>J23+J26+J29</f>
        <v>0</v>
      </c>
      <c r="K20" s="67">
        <f t="shared" ref="K20:AG20" si="16">K23+K26+K29</f>
        <v>0</v>
      </c>
      <c r="L20" s="67">
        <f t="shared" si="16"/>
        <v>8041</v>
      </c>
      <c r="M20" s="67">
        <f t="shared" si="16"/>
        <v>8041</v>
      </c>
      <c r="N20" s="67">
        <f t="shared" si="16"/>
        <v>0</v>
      </c>
      <c r="O20" s="67">
        <f t="shared" si="16"/>
        <v>0</v>
      </c>
      <c r="P20" s="67">
        <f t="shared" si="16"/>
        <v>877.2</v>
      </c>
      <c r="Q20" s="67">
        <f t="shared" si="16"/>
        <v>195.53</v>
      </c>
      <c r="R20" s="67">
        <f t="shared" si="16"/>
        <v>0</v>
      </c>
      <c r="S20" s="67">
        <f t="shared" si="16"/>
        <v>0</v>
      </c>
      <c r="T20" s="67">
        <f t="shared" si="16"/>
        <v>0</v>
      </c>
      <c r="U20" s="67">
        <f t="shared" si="16"/>
        <v>0</v>
      </c>
      <c r="V20" s="67">
        <f t="shared" si="16"/>
        <v>0</v>
      </c>
      <c r="W20" s="67">
        <f t="shared" si="16"/>
        <v>0</v>
      </c>
      <c r="X20" s="67">
        <f t="shared" si="16"/>
        <v>0</v>
      </c>
      <c r="Y20" s="67">
        <f t="shared" si="16"/>
        <v>0</v>
      </c>
      <c r="Z20" s="67">
        <f t="shared" si="16"/>
        <v>0</v>
      </c>
      <c r="AA20" s="67">
        <f t="shared" si="16"/>
        <v>0</v>
      </c>
      <c r="AB20" s="67">
        <f t="shared" si="16"/>
        <v>425.1</v>
      </c>
      <c r="AC20" s="67">
        <f t="shared" si="16"/>
        <v>0</v>
      </c>
      <c r="AD20" s="67">
        <f t="shared" si="16"/>
        <v>0</v>
      </c>
      <c r="AE20" s="67">
        <f t="shared" si="16"/>
        <v>0</v>
      </c>
      <c r="AF20" s="67">
        <f t="shared" si="16"/>
        <v>5415</v>
      </c>
      <c r="AG20" s="67">
        <f t="shared" si="16"/>
        <v>0</v>
      </c>
      <c r="AH20" s="363"/>
      <c r="AI20" s="24"/>
    </row>
    <row r="21" spans="1:35" s="22" customFormat="1" ht="30.75" customHeight="1" x14ac:dyDescent="0.25">
      <c r="A21" s="379"/>
      <c r="B21" s="384" t="s">
        <v>61</v>
      </c>
      <c r="C21" s="57" t="s">
        <v>20</v>
      </c>
      <c r="D21" s="58">
        <f>D23+D22</f>
        <v>5672.7000000000007</v>
      </c>
      <c r="E21" s="58">
        <f t="shared" ref="E21" si="17">E23+E22</f>
        <v>0</v>
      </c>
      <c r="F21" s="58">
        <f t="shared" ref="F21" si="18">F23+F22</f>
        <v>0</v>
      </c>
      <c r="G21" s="58">
        <f t="shared" ref="G21" si="19">G23+G22</f>
        <v>0</v>
      </c>
      <c r="H21" s="58">
        <f t="shared" ref="H21" si="20">IFERROR(G21/D21*100,0)</f>
        <v>0</v>
      </c>
      <c r="I21" s="58">
        <f t="shared" ref="I21" si="21">IFERROR(G21/E21*100,0)</f>
        <v>0</v>
      </c>
      <c r="J21" s="59">
        <f>J23+J22</f>
        <v>0</v>
      </c>
      <c r="K21" s="59">
        <f t="shared" ref="K21" si="22">K23+K22</f>
        <v>0</v>
      </c>
      <c r="L21" s="59">
        <f t="shared" ref="L21" si="23">L23+L22</f>
        <v>0</v>
      </c>
      <c r="M21" s="59">
        <f t="shared" ref="M21" si="24">M23+M22</f>
        <v>0</v>
      </c>
      <c r="N21" s="59">
        <f t="shared" ref="N21" si="25">N23+N22</f>
        <v>0</v>
      </c>
      <c r="O21" s="59">
        <f t="shared" ref="O21" si="26">O23+O22</f>
        <v>0</v>
      </c>
      <c r="P21" s="59">
        <f t="shared" ref="P21" si="27">P23+P22</f>
        <v>0</v>
      </c>
      <c r="Q21" s="59">
        <f t="shared" ref="Q21" si="28">Q23+Q22</f>
        <v>0</v>
      </c>
      <c r="R21" s="59">
        <f t="shared" ref="R21" si="29">R23+R22</f>
        <v>0</v>
      </c>
      <c r="S21" s="59">
        <f t="shared" ref="S21" si="30">S23+S22</f>
        <v>0</v>
      </c>
      <c r="T21" s="59">
        <f t="shared" ref="T21" si="31">T23+T22</f>
        <v>0</v>
      </c>
      <c r="U21" s="59">
        <f t="shared" ref="U21" si="32">U23+U22</f>
        <v>0</v>
      </c>
      <c r="V21" s="59">
        <f t="shared" ref="V21" si="33">V23+V22</f>
        <v>0</v>
      </c>
      <c r="W21" s="59">
        <f t="shared" ref="W21" si="34">W23+W22</f>
        <v>0</v>
      </c>
      <c r="X21" s="59">
        <f t="shared" ref="X21" si="35">X23+X22</f>
        <v>0</v>
      </c>
      <c r="Y21" s="59">
        <f t="shared" ref="Y21" si="36">Y23+Y22</f>
        <v>0</v>
      </c>
      <c r="Z21" s="59">
        <f t="shared" ref="Z21" si="37">Z23+Z22</f>
        <v>0</v>
      </c>
      <c r="AA21" s="59">
        <f t="shared" ref="AA21" si="38">AA23+AA22</f>
        <v>0</v>
      </c>
      <c r="AB21" s="59">
        <f t="shared" ref="AB21" si="39">AB23+AB22</f>
        <v>4722.7000000000007</v>
      </c>
      <c r="AC21" s="59">
        <f t="shared" ref="AC21" si="40">AC23+AC22</f>
        <v>0</v>
      </c>
      <c r="AD21" s="59">
        <f t="shared" ref="AD21" si="41">AD23+AD22</f>
        <v>0</v>
      </c>
      <c r="AE21" s="59">
        <f t="shared" ref="AE21" si="42">AE23+AE22</f>
        <v>0</v>
      </c>
      <c r="AF21" s="59">
        <f t="shared" ref="AF21" si="43">AF23+AF22</f>
        <v>950</v>
      </c>
      <c r="AG21" s="59">
        <f t="shared" ref="AG21" si="44">AG23+AG22</f>
        <v>0</v>
      </c>
      <c r="AH21" s="348" t="s">
        <v>339</v>
      </c>
      <c r="AI21" s="20"/>
    </row>
    <row r="22" spans="1:35" s="22" customFormat="1" ht="54" customHeight="1" x14ac:dyDescent="0.25">
      <c r="A22" s="380"/>
      <c r="B22" s="385"/>
      <c r="C22" s="61" t="s">
        <v>22</v>
      </c>
      <c r="D22" s="62">
        <f>SUM(J22,L22,N22,P22,R22,T22,V22,X22,Z22,AB22,AD22,AF22)</f>
        <v>4297.6000000000004</v>
      </c>
      <c r="E22" s="62">
        <f>J22+L22+N22+P22</f>
        <v>0</v>
      </c>
      <c r="F22" s="62">
        <f>G22</f>
        <v>0</v>
      </c>
      <c r="G22" s="62">
        <f>SUM(K22,M22,O22,Q22,S22,U22,W22,Y22,AA22,AC22,AE22,AG22)</f>
        <v>0</v>
      </c>
      <c r="H22" s="62">
        <f>IFERROR(G22/D22*100,0)</f>
        <v>0</v>
      </c>
      <c r="I22" s="62">
        <f>IFERROR(G22/E22*100,0)</f>
        <v>0</v>
      </c>
      <c r="J22" s="63">
        <v>0</v>
      </c>
      <c r="K22" s="63">
        <v>0</v>
      </c>
      <c r="L22" s="63">
        <v>0</v>
      </c>
      <c r="M22" s="63">
        <v>0</v>
      </c>
      <c r="N22" s="63">
        <v>0</v>
      </c>
      <c r="O22" s="63">
        <v>0</v>
      </c>
      <c r="P22" s="63">
        <v>0</v>
      </c>
      <c r="Q22" s="63">
        <v>0</v>
      </c>
      <c r="R22" s="63">
        <v>0</v>
      </c>
      <c r="S22" s="63">
        <v>0</v>
      </c>
      <c r="T22" s="63">
        <v>0</v>
      </c>
      <c r="U22" s="63">
        <v>0</v>
      </c>
      <c r="V22" s="63">
        <v>0</v>
      </c>
      <c r="W22" s="63">
        <v>0</v>
      </c>
      <c r="X22" s="63">
        <v>0</v>
      </c>
      <c r="Y22" s="63">
        <v>0</v>
      </c>
      <c r="Z22" s="63">
        <v>0</v>
      </c>
      <c r="AA22" s="63">
        <v>0</v>
      </c>
      <c r="AB22" s="63">
        <v>4297.6000000000004</v>
      </c>
      <c r="AC22" s="63">
        <v>0</v>
      </c>
      <c r="AD22" s="63">
        <v>0</v>
      </c>
      <c r="AE22" s="63">
        <v>0</v>
      </c>
      <c r="AF22" s="63">
        <v>0</v>
      </c>
      <c r="AG22" s="63">
        <v>0</v>
      </c>
      <c r="AH22" s="349"/>
      <c r="AI22" s="20"/>
    </row>
    <row r="23" spans="1:35" s="22" customFormat="1" ht="46.5" customHeight="1" x14ac:dyDescent="0.25">
      <c r="A23" s="374"/>
      <c r="B23" s="385"/>
      <c r="C23" s="61" t="s">
        <v>21</v>
      </c>
      <c r="D23" s="62">
        <f>SUM(J23,L23,N23,P23,R23,T23,V23,X23,Z23,AB23,AD23,AF23)</f>
        <v>1375.1</v>
      </c>
      <c r="E23" s="62">
        <f>J23+L23+N23+P23</f>
        <v>0</v>
      </c>
      <c r="F23" s="62">
        <f>G23</f>
        <v>0</v>
      </c>
      <c r="G23" s="62">
        <f>SUM(K23,M23,O23,Q23,S23,U23,W23,Y23,AA23,AC23,AE23,AG23)</f>
        <v>0</v>
      </c>
      <c r="H23" s="62">
        <f>IFERROR(G23/D23*100,0)</f>
        <v>0</v>
      </c>
      <c r="I23" s="62">
        <f>IFERROR(G23/E23*100,0)</f>
        <v>0</v>
      </c>
      <c r="J23" s="63">
        <v>0</v>
      </c>
      <c r="K23" s="63">
        <v>0</v>
      </c>
      <c r="L23" s="63">
        <v>0</v>
      </c>
      <c r="M23" s="63">
        <v>0</v>
      </c>
      <c r="N23" s="63">
        <v>0</v>
      </c>
      <c r="O23" s="63">
        <v>0</v>
      </c>
      <c r="P23" s="63">
        <v>0</v>
      </c>
      <c r="Q23" s="63">
        <v>0</v>
      </c>
      <c r="R23" s="63">
        <v>0</v>
      </c>
      <c r="S23" s="63">
        <v>0</v>
      </c>
      <c r="T23" s="63">
        <v>0</v>
      </c>
      <c r="U23" s="63">
        <v>0</v>
      </c>
      <c r="V23" s="63">
        <v>0</v>
      </c>
      <c r="W23" s="63">
        <v>0</v>
      </c>
      <c r="X23" s="63">
        <v>0</v>
      </c>
      <c r="Y23" s="63">
        <v>0</v>
      </c>
      <c r="Z23" s="63">
        <v>0</v>
      </c>
      <c r="AA23" s="63">
        <v>0</v>
      </c>
      <c r="AB23" s="63">
        <v>425.1</v>
      </c>
      <c r="AC23" s="63">
        <v>0</v>
      </c>
      <c r="AD23" s="63">
        <v>0</v>
      </c>
      <c r="AE23" s="63">
        <v>0</v>
      </c>
      <c r="AF23" s="63">
        <v>950</v>
      </c>
      <c r="AG23" s="63">
        <v>0</v>
      </c>
      <c r="AH23" s="350"/>
      <c r="AI23" s="20"/>
    </row>
    <row r="24" spans="1:35" s="22" customFormat="1" ht="42.75" customHeight="1" x14ac:dyDescent="0.25">
      <c r="A24" s="374"/>
      <c r="B24" s="384" t="s">
        <v>60</v>
      </c>
      <c r="C24" s="57" t="s">
        <v>20</v>
      </c>
      <c r="D24" s="58">
        <f>D26+D25</f>
        <v>49610.7</v>
      </c>
      <c r="E24" s="58">
        <f t="shared" ref="E24" si="45">E26+E25</f>
        <v>0</v>
      </c>
      <c r="F24" s="58">
        <f t="shared" ref="F24" si="46">F26+F25</f>
        <v>0</v>
      </c>
      <c r="G24" s="58">
        <f t="shared" ref="G24" si="47">G26+G25</f>
        <v>0</v>
      </c>
      <c r="H24" s="58">
        <f t="shared" ref="H24" si="48">IFERROR(G24/D24*100,0)</f>
        <v>0</v>
      </c>
      <c r="I24" s="58">
        <f t="shared" ref="I24" si="49">IFERROR(G24/E24*100,0)</f>
        <v>0</v>
      </c>
      <c r="J24" s="59">
        <f>J26+J25</f>
        <v>0</v>
      </c>
      <c r="K24" s="59">
        <f t="shared" ref="K24" si="50">K26+K25</f>
        <v>0</v>
      </c>
      <c r="L24" s="59">
        <f t="shared" ref="L24" si="51">L26+L25</f>
        <v>0</v>
      </c>
      <c r="M24" s="59">
        <f t="shared" ref="M24" si="52">M26+M25</f>
        <v>0</v>
      </c>
      <c r="N24" s="59">
        <f t="shared" ref="N24" si="53">N26+N25</f>
        <v>0</v>
      </c>
      <c r="O24" s="59">
        <f t="shared" ref="O24" si="54">O26+O25</f>
        <v>0</v>
      </c>
      <c r="P24" s="59">
        <f t="shared" ref="P24" si="55">P26+P25</f>
        <v>0</v>
      </c>
      <c r="Q24" s="59">
        <f t="shared" ref="Q24" si="56">Q26+Q25</f>
        <v>0</v>
      </c>
      <c r="R24" s="59">
        <f t="shared" ref="R24" si="57">R26+R25</f>
        <v>0</v>
      </c>
      <c r="S24" s="59">
        <f t="shared" ref="S24" si="58">S26+S25</f>
        <v>0</v>
      </c>
      <c r="T24" s="59">
        <f t="shared" ref="T24" si="59">T26+T25</f>
        <v>0</v>
      </c>
      <c r="U24" s="59">
        <f t="shared" ref="U24" si="60">U26+U25</f>
        <v>0</v>
      </c>
      <c r="V24" s="59">
        <f t="shared" ref="V24" si="61">V26+V25</f>
        <v>0</v>
      </c>
      <c r="W24" s="59">
        <f t="shared" ref="W24" si="62">W26+W25</f>
        <v>0</v>
      </c>
      <c r="X24" s="59">
        <f t="shared" ref="X24" si="63">X26+X25</f>
        <v>0</v>
      </c>
      <c r="Y24" s="59">
        <f t="shared" ref="Y24" si="64">Y26+Y25</f>
        <v>0</v>
      </c>
      <c r="Z24" s="59">
        <f t="shared" ref="Z24" si="65">Z26+Z25</f>
        <v>0</v>
      </c>
      <c r="AA24" s="59">
        <f t="shared" ref="AA24" si="66">AA26+AA25</f>
        <v>0</v>
      </c>
      <c r="AB24" s="59">
        <f t="shared" ref="AB24" si="67">AB26+AB25</f>
        <v>0</v>
      </c>
      <c r="AC24" s="59">
        <f t="shared" ref="AC24" si="68">AC26+AC25</f>
        <v>0</v>
      </c>
      <c r="AD24" s="59">
        <f t="shared" ref="AD24" si="69">AD26+AD25</f>
        <v>0</v>
      </c>
      <c r="AE24" s="59">
        <f t="shared" ref="AE24" si="70">AE26+AE25</f>
        <v>0</v>
      </c>
      <c r="AF24" s="59">
        <f t="shared" ref="AF24" si="71">AF26+AF25</f>
        <v>49610.7</v>
      </c>
      <c r="AG24" s="59">
        <f t="shared" ref="AG24" si="72">AG26+AG25</f>
        <v>0</v>
      </c>
      <c r="AH24" s="348" t="s">
        <v>338</v>
      </c>
      <c r="AI24" s="20"/>
    </row>
    <row r="25" spans="1:35" s="22" customFormat="1" ht="58.5" customHeight="1" x14ac:dyDescent="0.25">
      <c r="A25" s="374"/>
      <c r="B25" s="385"/>
      <c r="C25" s="61" t="s">
        <v>22</v>
      </c>
      <c r="D25" s="62">
        <f>SUM(J25,L25,N25,P25,R25,T25,V25,X25,Z25,AB25,AD25,AF25)</f>
        <v>45145.7</v>
      </c>
      <c r="E25" s="62">
        <f>J25+L25+N25+P25</f>
        <v>0</v>
      </c>
      <c r="F25" s="62">
        <f>G25</f>
        <v>0</v>
      </c>
      <c r="G25" s="62">
        <f>SUM(K25,M25,O25,Q25,S25,U25,W25,Y25,AA25,AC25,AE25,AG25)</f>
        <v>0</v>
      </c>
      <c r="H25" s="62">
        <f>IFERROR(G25/D25*100,0)</f>
        <v>0</v>
      </c>
      <c r="I25" s="62">
        <f>IFERROR(G25/E25*100,0)</f>
        <v>0</v>
      </c>
      <c r="J25" s="63">
        <v>0</v>
      </c>
      <c r="K25" s="63">
        <v>0</v>
      </c>
      <c r="L25" s="63">
        <v>0</v>
      </c>
      <c r="M25" s="63">
        <v>0</v>
      </c>
      <c r="N25" s="63">
        <v>0</v>
      </c>
      <c r="O25" s="63">
        <v>0</v>
      </c>
      <c r="P25" s="63">
        <v>0</v>
      </c>
      <c r="Q25" s="63">
        <v>0</v>
      </c>
      <c r="R25" s="63">
        <v>0</v>
      </c>
      <c r="S25" s="63">
        <v>0</v>
      </c>
      <c r="T25" s="63">
        <v>0</v>
      </c>
      <c r="U25" s="63">
        <v>0</v>
      </c>
      <c r="V25" s="63">
        <v>0</v>
      </c>
      <c r="W25" s="63">
        <v>0</v>
      </c>
      <c r="X25" s="63">
        <v>0</v>
      </c>
      <c r="Y25" s="63">
        <v>0</v>
      </c>
      <c r="Z25" s="63">
        <v>0</v>
      </c>
      <c r="AA25" s="63">
        <v>0</v>
      </c>
      <c r="AB25" s="63">
        <v>0</v>
      </c>
      <c r="AC25" s="63">
        <v>0</v>
      </c>
      <c r="AD25" s="63">
        <v>0</v>
      </c>
      <c r="AE25" s="63">
        <v>0</v>
      </c>
      <c r="AF25" s="63">
        <v>45145.7</v>
      </c>
      <c r="AG25" s="63">
        <v>0</v>
      </c>
      <c r="AH25" s="349"/>
      <c r="AI25" s="20"/>
    </row>
    <row r="26" spans="1:35" s="22" customFormat="1" ht="46.5" customHeight="1" x14ac:dyDescent="0.25">
      <c r="A26" s="375"/>
      <c r="B26" s="385"/>
      <c r="C26" s="61" t="s">
        <v>21</v>
      </c>
      <c r="D26" s="62">
        <f>SUM(J26,L26,N26,P26,R26,T26,V26,X26,Z26,AB26,AD26,AF26)</f>
        <v>4465</v>
      </c>
      <c r="E26" s="62">
        <f>J26+L26+N26+P26</f>
        <v>0</v>
      </c>
      <c r="F26" s="62">
        <f>G26</f>
        <v>0</v>
      </c>
      <c r="G26" s="62">
        <f>SUM(K26,M26,O26,Q26,S26,U26,W26,Y26,AA26,AC26,AE26,AG26)</f>
        <v>0</v>
      </c>
      <c r="H26" s="62">
        <f>IFERROR(G26/D26*100,0)</f>
        <v>0</v>
      </c>
      <c r="I26" s="62">
        <f>IFERROR(G26/E26*100,0)</f>
        <v>0</v>
      </c>
      <c r="J26" s="63">
        <v>0</v>
      </c>
      <c r="K26" s="63">
        <v>0</v>
      </c>
      <c r="L26" s="63">
        <v>0</v>
      </c>
      <c r="M26" s="63">
        <v>0</v>
      </c>
      <c r="N26" s="63">
        <v>0</v>
      </c>
      <c r="O26" s="63">
        <v>0</v>
      </c>
      <c r="P26" s="63">
        <v>0</v>
      </c>
      <c r="Q26" s="63">
        <v>0</v>
      </c>
      <c r="R26" s="63">
        <v>0</v>
      </c>
      <c r="S26" s="63">
        <v>0</v>
      </c>
      <c r="T26" s="63">
        <v>0</v>
      </c>
      <c r="U26" s="63">
        <v>0</v>
      </c>
      <c r="V26" s="63">
        <v>0</v>
      </c>
      <c r="W26" s="63">
        <v>0</v>
      </c>
      <c r="X26" s="63">
        <v>0</v>
      </c>
      <c r="Y26" s="63">
        <v>0</v>
      </c>
      <c r="Z26" s="63">
        <v>0</v>
      </c>
      <c r="AA26" s="63">
        <v>0</v>
      </c>
      <c r="AB26" s="63">
        <v>0</v>
      </c>
      <c r="AC26" s="63">
        <v>0</v>
      </c>
      <c r="AD26" s="63">
        <v>0</v>
      </c>
      <c r="AE26" s="63">
        <v>0</v>
      </c>
      <c r="AF26" s="63">
        <v>4465</v>
      </c>
      <c r="AG26" s="63">
        <v>0</v>
      </c>
      <c r="AH26" s="350"/>
      <c r="AI26" s="20"/>
    </row>
    <row r="27" spans="1:35" s="22" customFormat="1" ht="38.25" customHeight="1" x14ac:dyDescent="0.25">
      <c r="A27" s="373"/>
      <c r="B27" s="384" t="s">
        <v>62</v>
      </c>
      <c r="C27" s="57" t="s">
        <v>20</v>
      </c>
      <c r="D27" s="58">
        <f>D29+D28</f>
        <v>17787.2</v>
      </c>
      <c r="E27" s="58">
        <f t="shared" ref="E27" si="73">E29+E28</f>
        <v>17787.2</v>
      </c>
      <c r="F27" s="58">
        <f t="shared" ref="F27" si="74">F29+F28</f>
        <v>10213.51</v>
      </c>
      <c r="G27" s="58">
        <f t="shared" ref="G27" si="75">G29+G28</f>
        <v>10213.51</v>
      </c>
      <c r="H27" s="58">
        <f t="shared" ref="H27" si="76">IFERROR(G27/D27*100,0)</f>
        <v>57.420560852748039</v>
      </c>
      <c r="I27" s="58">
        <f t="shared" ref="I27" si="77">IFERROR(G27/E27*100,0)</f>
        <v>57.420560852748039</v>
      </c>
      <c r="J27" s="59">
        <f>J29+J28</f>
        <v>0</v>
      </c>
      <c r="K27" s="59">
        <f t="shared" ref="K27" si="78">K29+K28</f>
        <v>0</v>
      </c>
      <c r="L27" s="59">
        <f t="shared" ref="L27" si="79">L29+L28</f>
        <v>8041</v>
      </c>
      <c r="M27" s="59">
        <f t="shared" ref="M27" si="80">M29+M28</f>
        <v>8041</v>
      </c>
      <c r="N27" s="59">
        <f t="shared" ref="N27" si="81">N29+N28</f>
        <v>0</v>
      </c>
      <c r="O27" s="59">
        <f t="shared" ref="O27" si="82">O29+O28</f>
        <v>0</v>
      </c>
      <c r="P27" s="59">
        <f t="shared" ref="P27" si="83">P29+P28</f>
        <v>9746.2000000000007</v>
      </c>
      <c r="Q27" s="59">
        <f t="shared" ref="Q27" si="84">Q29+Q28</f>
        <v>2172.5100000000002</v>
      </c>
      <c r="R27" s="59">
        <f t="shared" ref="R27" si="85">R29+R28</f>
        <v>0</v>
      </c>
      <c r="S27" s="59">
        <f t="shared" ref="S27" si="86">S29+S28</f>
        <v>0</v>
      </c>
      <c r="T27" s="59">
        <f t="shared" ref="T27" si="87">T29+T28</f>
        <v>0</v>
      </c>
      <c r="U27" s="59">
        <f t="shared" ref="U27" si="88">U29+U28</f>
        <v>0</v>
      </c>
      <c r="V27" s="59">
        <f t="shared" ref="V27" si="89">V29+V28</f>
        <v>0</v>
      </c>
      <c r="W27" s="59">
        <f t="shared" ref="W27" si="90">W29+W28</f>
        <v>0</v>
      </c>
      <c r="X27" s="59">
        <f t="shared" ref="X27" si="91">X29+X28</f>
        <v>0</v>
      </c>
      <c r="Y27" s="59">
        <f t="shared" ref="Y27" si="92">Y29+Y28</f>
        <v>0</v>
      </c>
      <c r="Z27" s="59">
        <f t="shared" ref="Z27" si="93">Z29+Z28</f>
        <v>0</v>
      </c>
      <c r="AA27" s="59">
        <f t="shared" ref="AA27" si="94">AA29+AA28</f>
        <v>0</v>
      </c>
      <c r="AB27" s="59">
        <f t="shared" ref="AB27" si="95">AB29+AB28</f>
        <v>0</v>
      </c>
      <c r="AC27" s="59">
        <f t="shared" ref="AC27" si="96">AC29+AC28</f>
        <v>0</v>
      </c>
      <c r="AD27" s="59">
        <f t="shared" ref="AD27" si="97">AD29+AD28</f>
        <v>0</v>
      </c>
      <c r="AE27" s="59">
        <f t="shared" ref="AE27" si="98">AE29+AE28</f>
        <v>0</v>
      </c>
      <c r="AF27" s="59">
        <f t="shared" ref="AF27" si="99">AF29+AF28</f>
        <v>0</v>
      </c>
      <c r="AG27" s="59">
        <f t="shared" ref="AG27" si="100">AG29+AG28</f>
        <v>0</v>
      </c>
      <c r="AH27" s="348" t="s">
        <v>369</v>
      </c>
      <c r="AI27" s="20"/>
    </row>
    <row r="28" spans="1:35" s="22" customFormat="1" ht="58.5" customHeight="1" x14ac:dyDescent="0.25">
      <c r="A28" s="374"/>
      <c r="B28" s="385"/>
      <c r="C28" s="61" t="s">
        <v>22</v>
      </c>
      <c r="D28" s="62">
        <f>SUM(J28,L28,N28,P28,R28,T28,V28,X28,Z28,AB28,AD28,AF28)</f>
        <v>8869</v>
      </c>
      <c r="E28" s="62">
        <f>J28+L28+N28+P28</f>
        <v>8869</v>
      </c>
      <c r="F28" s="62">
        <f>G28</f>
        <v>1976.98</v>
      </c>
      <c r="G28" s="62">
        <f>SUM(K28,M28,O28,Q28,S28,U28,W28,Y28,AA28,AC28,AE28,AG28)</f>
        <v>1976.98</v>
      </c>
      <c r="H28" s="62">
        <f>IFERROR(G28/D28*100,0)</f>
        <v>22.290900890743039</v>
      </c>
      <c r="I28" s="62">
        <f>IFERROR(G28/E28*100,0)</f>
        <v>22.290900890743039</v>
      </c>
      <c r="J28" s="63">
        <v>0</v>
      </c>
      <c r="K28" s="63">
        <v>0</v>
      </c>
      <c r="L28" s="63">
        <v>0</v>
      </c>
      <c r="M28" s="63">
        <v>0</v>
      </c>
      <c r="N28" s="63">
        <v>0</v>
      </c>
      <c r="O28" s="63">
        <v>0</v>
      </c>
      <c r="P28" s="63">
        <v>8869</v>
      </c>
      <c r="Q28" s="63">
        <v>1976.98</v>
      </c>
      <c r="R28" s="63">
        <v>0</v>
      </c>
      <c r="S28" s="63">
        <v>0</v>
      </c>
      <c r="T28" s="63">
        <v>0</v>
      </c>
      <c r="U28" s="63">
        <v>0</v>
      </c>
      <c r="V28" s="63">
        <v>0</v>
      </c>
      <c r="W28" s="63">
        <v>0</v>
      </c>
      <c r="X28" s="63">
        <v>0</v>
      </c>
      <c r="Y28" s="63">
        <v>0</v>
      </c>
      <c r="Z28" s="63">
        <v>0</v>
      </c>
      <c r="AA28" s="63">
        <v>0</v>
      </c>
      <c r="AB28" s="63">
        <v>0</v>
      </c>
      <c r="AC28" s="63">
        <v>0</v>
      </c>
      <c r="AD28" s="63">
        <v>0</v>
      </c>
      <c r="AE28" s="63">
        <v>0</v>
      </c>
      <c r="AF28" s="63">
        <v>0</v>
      </c>
      <c r="AG28" s="63">
        <v>0</v>
      </c>
      <c r="AH28" s="349"/>
      <c r="AI28" s="20"/>
    </row>
    <row r="29" spans="1:35" s="22" customFormat="1" ht="48.75" customHeight="1" x14ac:dyDescent="0.25">
      <c r="A29" s="375"/>
      <c r="B29" s="385"/>
      <c r="C29" s="61" t="s">
        <v>21</v>
      </c>
      <c r="D29" s="62">
        <f>SUM(J29,L29,N29,P29,R29,T29,V29,X29,Z29,AB29,AD29,AF29)</f>
        <v>8918.2000000000007</v>
      </c>
      <c r="E29" s="62">
        <f>J29+L29+N29+P29</f>
        <v>8918.2000000000007</v>
      </c>
      <c r="F29" s="62">
        <f>G29</f>
        <v>8236.5300000000007</v>
      </c>
      <c r="G29" s="62">
        <f>SUM(K29,M29,O29,Q29,S29,U29,W29,Y29,AA29,AC29,AE29,AG29)</f>
        <v>8236.5300000000007</v>
      </c>
      <c r="H29" s="62">
        <f>IFERROR(G29/D29*100,0)</f>
        <v>92.356417214236046</v>
      </c>
      <c r="I29" s="62">
        <f>IFERROR(G29/E29*100,0)</f>
        <v>92.356417214236046</v>
      </c>
      <c r="J29" s="63">
        <v>0</v>
      </c>
      <c r="K29" s="63">
        <v>0</v>
      </c>
      <c r="L29" s="63">
        <v>8041</v>
      </c>
      <c r="M29" s="63">
        <v>8041</v>
      </c>
      <c r="N29" s="63">
        <v>0</v>
      </c>
      <c r="O29" s="63">
        <v>0</v>
      </c>
      <c r="P29" s="63">
        <v>877.2</v>
      </c>
      <c r="Q29" s="63">
        <v>195.53</v>
      </c>
      <c r="R29" s="63">
        <v>0</v>
      </c>
      <c r="S29" s="63">
        <v>0</v>
      </c>
      <c r="T29" s="63">
        <v>0</v>
      </c>
      <c r="U29" s="63">
        <v>0</v>
      </c>
      <c r="V29" s="63">
        <v>0</v>
      </c>
      <c r="W29" s="63">
        <v>0</v>
      </c>
      <c r="X29" s="63">
        <v>0</v>
      </c>
      <c r="Y29" s="63">
        <v>0</v>
      </c>
      <c r="Z29" s="63">
        <v>0</v>
      </c>
      <c r="AA29" s="63">
        <v>0</v>
      </c>
      <c r="AB29" s="63">
        <v>0</v>
      </c>
      <c r="AC29" s="63">
        <v>0</v>
      </c>
      <c r="AD29" s="63">
        <v>0</v>
      </c>
      <c r="AE29" s="63">
        <v>0</v>
      </c>
      <c r="AF29" s="63">
        <v>0</v>
      </c>
      <c r="AG29" s="63">
        <v>0</v>
      </c>
      <c r="AH29" s="350"/>
      <c r="AI29" s="20"/>
    </row>
    <row r="30" spans="1:35" s="22" customFormat="1" ht="25.5" customHeight="1" x14ac:dyDescent="0.25">
      <c r="A30" s="88"/>
      <c r="B30" s="370" t="s">
        <v>68</v>
      </c>
      <c r="C30" s="371"/>
      <c r="D30" s="371"/>
      <c r="E30" s="371"/>
      <c r="F30" s="371"/>
      <c r="G30" s="371"/>
      <c r="H30" s="371"/>
      <c r="I30" s="371"/>
      <c r="J30" s="371"/>
      <c r="K30" s="371"/>
      <c r="L30" s="371"/>
      <c r="M30" s="371"/>
      <c r="N30" s="371"/>
      <c r="O30" s="371"/>
      <c r="P30" s="371"/>
      <c r="Q30" s="371"/>
      <c r="R30" s="371"/>
      <c r="S30" s="371"/>
      <c r="T30" s="371"/>
      <c r="U30" s="371"/>
      <c r="V30" s="371"/>
      <c r="W30" s="371"/>
      <c r="X30" s="371"/>
      <c r="Y30" s="371"/>
      <c r="Z30" s="371"/>
      <c r="AA30" s="371"/>
      <c r="AB30" s="371"/>
      <c r="AC30" s="371"/>
      <c r="AD30" s="371"/>
      <c r="AE30" s="371"/>
      <c r="AF30" s="371"/>
      <c r="AG30" s="372"/>
      <c r="AH30" s="60"/>
      <c r="AI30" s="20"/>
    </row>
    <row r="31" spans="1:35" s="22" customFormat="1" ht="44.25" customHeight="1" x14ac:dyDescent="0.25">
      <c r="A31" s="444" t="s">
        <v>63</v>
      </c>
      <c r="B31" s="423" t="s">
        <v>64</v>
      </c>
      <c r="C31" s="81" t="s">
        <v>20</v>
      </c>
      <c r="D31" s="82">
        <f>SUM(J31,L31,N31,P31,R31,T31,V31,X31,Z31,AB31,AD31,AF31)</f>
        <v>4402.1000000000004</v>
      </c>
      <c r="E31" s="82">
        <f>E32+E33</f>
        <v>2.1</v>
      </c>
      <c r="F31" s="82">
        <f>F32+F33</f>
        <v>2.1</v>
      </c>
      <c r="G31" s="82">
        <f>G32+G33</f>
        <v>2.1</v>
      </c>
      <c r="H31" s="82">
        <f t="shared" si="11"/>
        <v>4.7704504668226524E-2</v>
      </c>
      <c r="I31" s="82">
        <f t="shared" si="12"/>
        <v>100</v>
      </c>
      <c r="J31" s="83">
        <f>J32+J33</f>
        <v>0</v>
      </c>
      <c r="K31" s="83">
        <f t="shared" ref="K31:AG31" si="101">K32+K33</f>
        <v>0</v>
      </c>
      <c r="L31" s="83">
        <f t="shared" si="101"/>
        <v>0</v>
      </c>
      <c r="M31" s="83">
        <f t="shared" si="101"/>
        <v>0</v>
      </c>
      <c r="N31" s="83">
        <f t="shared" si="101"/>
        <v>2.1</v>
      </c>
      <c r="O31" s="83">
        <f t="shared" si="101"/>
        <v>2.1</v>
      </c>
      <c r="P31" s="83">
        <f t="shared" si="101"/>
        <v>0</v>
      </c>
      <c r="Q31" s="83">
        <f t="shared" si="101"/>
        <v>0</v>
      </c>
      <c r="R31" s="83">
        <f t="shared" si="101"/>
        <v>0</v>
      </c>
      <c r="S31" s="83">
        <f t="shared" si="101"/>
        <v>0</v>
      </c>
      <c r="T31" s="83">
        <f t="shared" si="101"/>
        <v>0</v>
      </c>
      <c r="U31" s="83">
        <f t="shared" si="101"/>
        <v>0</v>
      </c>
      <c r="V31" s="83">
        <f t="shared" si="101"/>
        <v>0</v>
      </c>
      <c r="W31" s="83">
        <f t="shared" si="101"/>
        <v>0</v>
      </c>
      <c r="X31" s="83">
        <f t="shared" si="101"/>
        <v>0</v>
      </c>
      <c r="Y31" s="83">
        <f t="shared" si="101"/>
        <v>0</v>
      </c>
      <c r="Z31" s="83">
        <f t="shared" si="101"/>
        <v>0</v>
      </c>
      <c r="AA31" s="83">
        <f t="shared" si="101"/>
        <v>0</v>
      </c>
      <c r="AB31" s="83">
        <f t="shared" si="101"/>
        <v>0</v>
      </c>
      <c r="AC31" s="83">
        <f t="shared" si="101"/>
        <v>0</v>
      </c>
      <c r="AD31" s="83">
        <f t="shared" si="101"/>
        <v>0</v>
      </c>
      <c r="AE31" s="83">
        <f t="shared" si="101"/>
        <v>0</v>
      </c>
      <c r="AF31" s="83">
        <f t="shared" si="101"/>
        <v>4400</v>
      </c>
      <c r="AG31" s="83">
        <f t="shared" si="101"/>
        <v>0</v>
      </c>
      <c r="AH31" s="348"/>
      <c r="AI31" s="20"/>
    </row>
    <row r="32" spans="1:35" s="22" customFormat="1" ht="49.5" customHeight="1" x14ac:dyDescent="0.25">
      <c r="A32" s="445"/>
      <c r="B32" s="424"/>
      <c r="C32" s="61" t="s">
        <v>52</v>
      </c>
      <c r="D32" s="62">
        <f>SUM(J32,L32,N32,P32,R32,T32,V32,X32,Z32,AB32,AD32,AF32)</f>
        <v>4400</v>
      </c>
      <c r="E32" s="62">
        <f>J32+L32+N32+P32</f>
        <v>0</v>
      </c>
      <c r="F32" s="62">
        <f>G32</f>
        <v>0</v>
      </c>
      <c r="G32" s="62">
        <f>SUM(K32,M32,O32,Q32,S32,U32,W32,Y32,AA32,AC32,AE32,AG32)</f>
        <v>0</v>
      </c>
      <c r="H32" s="62">
        <f t="shared" si="11"/>
        <v>0</v>
      </c>
      <c r="I32" s="62">
        <f t="shared" si="12"/>
        <v>0</v>
      </c>
      <c r="J32" s="63">
        <f>J35+J37</f>
        <v>0</v>
      </c>
      <c r="K32" s="63">
        <f t="shared" ref="K32:AG32" si="102">K35+K37</f>
        <v>0</v>
      </c>
      <c r="L32" s="63">
        <f t="shared" si="102"/>
        <v>0</v>
      </c>
      <c r="M32" s="63">
        <f t="shared" si="102"/>
        <v>0</v>
      </c>
      <c r="N32" s="63">
        <f t="shared" si="102"/>
        <v>0</v>
      </c>
      <c r="O32" s="63">
        <f t="shared" si="102"/>
        <v>0</v>
      </c>
      <c r="P32" s="63">
        <f t="shared" si="102"/>
        <v>0</v>
      </c>
      <c r="Q32" s="63">
        <f t="shared" si="102"/>
        <v>0</v>
      </c>
      <c r="R32" s="63">
        <f t="shared" si="102"/>
        <v>0</v>
      </c>
      <c r="S32" s="63">
        <f t="shared" si="102"/>
        <v>0</v>
      </c>
      <c r="T32" s="63">
        <f t="shared" si="102"/>
        <v>0</v>
      </c>
      <c r="U32" s="63">
        <f t="shared" si="102"/>
        <v>0</v>
      </c>
      <c r="V32" s="63">
        <f t="shared" si="102"/>
        <v>0</v>
      </c>
      <c r="W32" s="63">
        <f t="shared" si="102"/>
        <v>0</v>
      </c>
      <c r="X32" s="63">
        <f t="shared" si="102"/>
        <v>0</v>
      </c>
      <c r="Y32" s="63">
        <f t="shared" si="102"/>
        <v>0</v>
      </c>
      <c r="Z32" s="63">
        <f t="shared" si="102"/>
        <v>0</v>
      </c>
      <c r="AA32" s="63">
        <f t="shared" si="102"/>
        <v>0</v>
      </c>
      <c r="AB32" s="63">
        <f t="shared" si="102"/>
        <v>0</v>
      </c>
      <c r="AC32" s="63">
        <f t="shared" si="102"/>
        <v>0</v>
      </c>
      <c r="AD32" s="63">
        <f t="shared" si="102"/>
        <v>0</v>
      </c>
      <c r="AE32" s="63">
        <f t="shared" si="102"/>
        <v>0</v>
      </c>
      <c r="AF32" s="63">
        <f t="shared" si="102"/>
        <v>4400</v>
      </c>
      <c r="AG32" s="63">
        <f t="shared" si="102"/>
        <v>0</v>
      </c>
      <c r="AH32" s="349"/>
      <c r="AI32" s="20"/>
    </row>
    <row r="33" spans="1:35" s="22" customFormat="1" ht="66.75" customHeight="1" x14ac:dyDescent="0.25">
      <c r="A33" s="446"/>
      <c r="B33" s="425"/>
      <c r="C33" s="61" t="s">
        <v>22</v>
      </c>
      <c r="D33" s="62">
        <f>SUM(J33,L33,N33,P33,R33,T33,V33,X33,Z33,AB33,AD33,AF33)</f>
        <v>2.1</v>
      </c>
      <c r="E33" s="62">
        <f>J33+L33+N33+P33</f>
        <v>2.1</v>
      </c>
      <c r="F33" s="62">
        <f>G33</f>
        <v>2.1</v>
      </c>
      <c r="G33" s="62">
        <f>SUM(K33,M33,O33,Q33,S33,U33,W33,Y33,AA33,AC33,AE33,AG33)</f>
        <v>2.1</v>
      </c>
      <c r="H33" s="62">
        <f t="shared" si="11"/>
        <v>100</v>
      </c>
      <c r="I33" s="62">
        <f t="shared" si="12"/>
        <v>100</v>
      </c>
      <c r="J33" s="63">
        <f>J38</f>
        <v>0</v>
      </c>
      <c r="K33" s="63">
        <f t="shared" ref="K33:AG33" si="103">K38</f>
        <v>0</v>
      </c>
      <c r="L33" s="63">
        <f t="shared" si="103"/>
        <v>0</v>
      </c>
      <c r="M33" s="63">
        <f t="shared" si="103"/>
        <v>0</v>
      </c>
      <c r="N33" s="63">
        <f t="shared" si="103"/>
        <v>2.1</v>
      </c>
      <c r="O33" s="63">
        <f t="shared" si="103"/>
        <v>2.1</v>
      </c>
      <c r="P33" s="63">
        <f t="shared" si="103"/>
        <v>0</v>
      </c>
      <c r="Q33" s="63">
        <f t="shared" si="103"/>
        <v>0</v>
      </c>
      <c r="R33" s="63">
        <f t="shared" si="103"/>
        <v>0</v>
      </c>
      <c r="S33" s="63">
        <f t="shared" si="103"/>
        <v>0</v>
      </c>
      <c r="T33" s="63">
        <f t="shared" si="103"/>
        <v>0</v>
      </c>
      <c r="U33" s="63">
        <f t="shared" si="103"/>
        <v>0</v>
      </c>
      <c r="V33" s="63">
        <f t="shared" si="103"/>
        <v>0</v>
      </c>
      <c r="W33" s="63">
        <f t="shared" si="103"/>
        <v>0</v>
      </c>
      <c r="X33" s="63">
        <f t="shared" si="103"/>
        <v>0</v>
      </c>
      <c r="Y33" s="63">
        <f t="shared" si="103"/>
        <v>0</v>
      </c>
      <c r="Z33" s="63">
        <f t="shared" si="103"/>
        <v>0</v>
      </c>
      <c r="AA33" s="63">
        <f t="shared" si="103"/>
        <v>0</v>
      </c>
      <c r="AB33" s="63">
        <f t="shared" si="103"/>
        <v>0</v>
      </c>
      <c r="AC33" s="63">
        <f t="shared" si="103"/>
        <v>0</v>
      </c>
      <c r="AD33" s="63">
        <f t="shared" si="103"/>
        <v>0</v>
      </c>
      <c r="AE33" s="63">
        <f t="shared" si="103"/>
        <v>0</v>
      </c>
      <c r="AF33" s="63">
        <f t="shared" si="103"/>
        <v>0</v>
      </c>
      <c r="AG33" s="63">
        <f t="shared" si="103"/>
        <v>0</v>
      </c>
      <c r="AH33" s="350"/>
      <c r="AI33" s="20"/>
    </row>
    <row r="34" spans="1:35" s="22" customFormat="1" ht="156.75" customHeight="1" x14ac:dyDescent="0.25">
      <c r="A34" s="379"/>
      <c r="B34" s="384" t="s">
        <v>65</v>
      </c>
      <c r="C34" s="57" t="s">
        <v>20</v>
      </c>
      <c r="D34" s="58">
        <f>SUM(J34,L34,N34,P34,R34,T34,V34,X34,Z34,AB34,AD34,AF34)</f>
        <v>2200</v>
      </c>
      <c r="E34" s="58">
        <f t="shared" ref="E34:G34" si="104">E35</f>
        <v>0</v>
      </c>
      <c r="F34" s="58">
        <f t="shared" si="104"/>
        <v>0</v>
      </c>
      <c r="G34" s="58">
        <f t="shared" si="104"/>
        <v>0</v>
      </c>
      <c r="H34" s="58">
        <f t="shared" ref="H34:H36" si="105">IFERROR(G34/D34*100,0)</f>
        <v>0</v>
      </c>
      <c r="I34" s="58">
        <f t="shared" ref="I34:I36" si="106">IFERROR(G34/E34*100,0)</f>
        <v>0</v>
      </c>
      <c r="J34" s="59">
        <f>J35</f>
        <v>0</v>
      </c>
      <c r="K34" s="59">
        <f t="shared" ref="K34:AG34" si="107">K35</f>
        <v>0</v>
      </c>
      <c r="L34" s="59">
        <f t="shared" si="107"/>
        <v>0</v>
      </c>
      <c r="M34" s="59">
        <f t="shared" si="107"/>
        <v>0</v>
      </c>
      <c r="N34" s="59">
        <f t="shared" si="107"/>
        <v>0</v>
      </c>
      <c r="O34" s="59">
        <f t="shared" si="107"/>
        <v>0</v>
      </c>
      <c r="P34" s="59">
        <f t="shared" si="107"/>
        <v>0</v>
      </c>
      <c r="Q34" s="59">
        <f t="shared" si="107"/>
        <v>0</v>
      </c>
      <c r="R34" s="59">
        <f t="shared" si="107"/>
        <v>0</v>
      </c>
      <c r="S34" s="59">
        <f t="shared" si="107"/>
        <v>0</v>
      </c>
      <c r="T34" s="59">
        <f t="shared" si="107"/>
        <v>0</v>
      </c>
      <c r="U34" s="59">
        <f t="shared" si="107"/>
        <v>0</v>
      </c>
      <c r="V34" s="59">
        <f t="shared" si="107"/>
        <v>0</v>
      </c>
      <c r="W34" s="59">
        <f t="shared" si="107"/>
        <v>0</v>
      </c>
      <c r="X34" s="59">
        <f t="shared" si="107"/>
        <v>0</v>
      </c>
      <c r="Y34" s="59">
        <f t="shared" si="107"/>
        <v>0</v>
      </c>
      <c r="Z34" s="59">
        <f t="shared" si="107"/>
        <v>0</v>
      </c>
      <c r="AA34" s="59">
        <f t="shared" si="107"/>
        <v>0</v>
      </c>
      <c r="AB34" s="59">
        <f t="shared" si="107"/>
        <v>0</v>
      </c>
      <c r="AC34" s="59">
        <f t="shared" si="107"/>
        <v>0</v>
      </c>
      <c r="AD34" s="59">
        <f t="shared" si="107"/>
        <v>0</v>
      </c>
      <c r="AE34" s="59">
        <f t="shared" si="107"/>
        <v>0</v>
      </c>
      <c r="AF34" s="59">
        <f t="shared" si="107"/>
        <v>2200</v>
      </c>
      <c r="AG34" s="59">
        <f t="shared" si="107"/>
        <v>0</v>
      </c>
      <c r="AH34" s="376" t="s">
        <v>372</v>
      </c>
      <c r="AI34" s="20"/>
    </row>
    <row r="35" spans="1:35" s="22" customFormat="1" ht="108" customHeight="1" x14ac:dyDescent="0.25">
      <c r="A35" s="374"/>
      <c r="B35" s="385"/>
      <c r="C35" s="61" t="s">
        <v>52</v>
      </c>
      <c r="D35" s="62">
        <f>SUM(J35,L35,N35,P35,R35,T35,V35,X35,Z35,AB35,AD35,AF35)</f>
        <v>2200</v>
      </c>
      <c r="E35" s="62">
        <f>J35+L35+N35+P35</f>
        <v>0</v>
      </c>
      <c r="F35" s="62">
        <f>G35</f>
        <v>0</v>
      </c>
      <c r="G35" s="62">
        <f>SUM(K35,M35,O35,Q35,S35,U35,W35,Y35,AA35,AC35,AE35,AG35)</f>
        <v>0</v>
      </c>
      <c r="H35" s="62">
        <f t="shared" si="105"/>
        <v>0</v>
      </c>
      <c r="I35" s="62">
        <f t="shared" si="106"/>
        <v>0</v>
      </c>
      <c r="J35" s="63">
        <v>0</v>
      </c>
      <c r="K35" s="63">
        <v>0</v>
      </c>
      <c r="L35" s="63">
        <v>0</v>
      </c>
      <c r="M35" s="63">
        <v>0</v>
      </c>
      <c r="N35" s="63">
        <v>0</v>
      </c>
      <c r="O35" s="63">
        <v>0</v>
      </c>
      <c r="P35" s="63">
        <v>0</v>
      </c>
      <c r="Q35" s="63">
        <v>0</v>
      </c>
      <c r="R35" s="63">
        <v>0</v>
      </c>
      <c r="S35" s="63">
        <v>0</v>
      </c>
      <c r="T35" s="63">
        <v>0</v>
      </c>
      <c r="U35" s="63">
        <v>0</v>
      </c>
      <c r="V35" s="63">
        <v>0</v>
      </c>
      <c r="W35" s="63">
        <v>0</v>
      </c>
      <c r="X35" s="63">
        <v>0</v>
      </c>
      <c r="Y35" s="63">
        <v>0</v>
      </c>
      <c r="Z35" s="63">
        <v>0</v>
      </c>
      <c r="AA35" s="63">
        <v>0</v>
      </c>
      <c r="AB35" s="63">
        <v>0</v>
      </c>
      <c r="AC35" s="63">
        <v>0</v>
      </c>
      <c r="AD35" s="63">
        <v>0</v>
      </c>
      <c r="AE35" s="63">
        <v>0</v>
      </c>
      <c r="AF35" s="63">
        <v>2200</v>
      </c>
      <c r="AG35" s="63">
        <v>0</v>
      </c>
      <c r="AH35" s="378"/>
      <c r="AI35" s="20"/>
    </row>
    <row r="36" spans="1:35" s="18" customFormat="1" ht="30.75" customHeight="1" x14ac:dyDescent="0.25">
      <c r="A36" s="373"/>
      <c r="B36" s="384" t="s">
        <v>66</v>
      </c>
      <c r="C36" s="57" t="s">
        <v>20</v>
      </c>
      <c r="D36" s="58">
        <f>D38+D37</f>
        <v>2202.1</v>
      </c>
      <c r="E36" s="58">
        <f t="shared" ref="E36" si="108">E38+E37</f>
        <v>2.1</v>
      </c>
      <c r="F36" s="58">
        <f t="shared" ref="F36" si="109">F38+F37</f>
        <v>2.1</v>
      </c>
      <c r="G36" s="58">
        <f t="shared" ref="G36" si="110">G38+G37</f>
        <v>2.1</v>
      </c>
      <c r="H36" s="58">
        <f t="shared" si="105"/>
        <v>9.5363516643204221E-2</v>
      </c>
      <c r="I36" s="58">
        <f t="shared" si="106"/>
        <v>100</v>
      </c>
      <c r="J36" s="59">
        <f>J38+J37</f>
        <v>0</v>
      </c>
      <c r="K36" s="59">
        <f t="shared" ref="K36" si="111">K38+K37</f>
        <v>0</v>
      </c>
      <c r="L36" s="59">
        <f t="shared" ref="L36" si="112">L38+L37</f>
        <v>0</v>
      </c>
      <c r="M36" s="59">
        <f t="shared" ref="M36" si="113">M38+M37</f>
        <v>0</v>
      </c>
      <c r="N36" s="59">
        <f t="shared" ref="N36" si="114">N38+N37</f>
        <v>2.1</v>
      </c>
      <c r="O36" s="59">
        <f t="shared" ref="O36" si="115">O38+O37</f>
        <v>2.1</v>
      </c>
      <c r="P36" s="59">
        <f t="shared" ref="P36" si="116">P38+P37</f>
        <v>0</v>
      </c>
      <c r="Q36" s="59">
        <f t="shared" ref="Q36" si="117">Q38+Q37</f>
        <v>0</v>
      </c>
      <c r="R36" s="59">
        <f t="shared" ref="R36" si="118">R38+R37</f>
        <v>0</v>
      </c>
      <c r="S36" s="59">
        <f t="shared" ref="S36" si="119">S38+S37</f>
        <v>0</v>
      </c>
      <c r="T36" s="59">
        <f t="shared" ref="T36" si="120">T38+T37</f>
        <v>0</v>
      </c>
      <c r="U36" s="59">
        <f t="shared" ref="U36" si="121">U38+U37</f>
        <v>0</v>
      </c>
      <c r="V36" s="59">
        <f t="shared" ref="V36" si="122">V38+V37</f>
        <v>0</v>
      </c>
      <c r="W36" s="59">
        <f t="shared" ref="W36" si="123">W38+W37</f>
        <v>0</v>
      </c>
      <c r="X36" s="59">
        <f t="shared" ref="X36" si="124">X38+X37</f>
        <v>0</v>
      </c>
      <c r="Y36" s="59">
        <f t="shared" ref="Y36" si="125">Y38+Y37</f>
        <v>0</v>
      </c>
      <c r="Z36" s="59">
        <f t="shared" ref="Z36" si="126">Z38+Z37</f>
        <v>0</v>
      </c>
      <c r="AA36" s="59">
        <f t="shared" ref="AA36" si="127">AA38+AA37</f>
        <v>0</v>
      </c>
      <c r="AB36" s="59">
        <f t="shared" ref="AB36" si="128">AB38+AB37</f>
        <v>0</v>
      </c>
      <c r="AC36" s="59">
        <f t="shared" ref="AC36" si="129">AC38+AC37</f>
        <v>0</v>
      </c>
      <c r="AD36" s="59">
        <f t="shared" ref="AD36" si="130">AD38+AD37</f>
        <v>0</v>
      </c>
      <c r="AE36" s="59">
        <f t="shared" ref="AE36" si="131">AE38+AE37</f>
        <v>0</v>
      </c>
      <c r="AF36" s="59">
        <f t="shared" ref="AF36" si="132">AF38+AF37</f>
        <v>2200</v>
      </c>
      <c r="AG36" s="59">
        <f t="shared" ref="AG36" si="133">AG38+AG37</f>
        <v>0</v>
      </c>
      <c r="AH36" s="348" t="s">
        <v>353</v>
      </c>
      <c r="AI36" s="19"/>
    </row>
    <row r="37" spans="1:35" s="18" customFormat="1" ht="52.5" customHeight="1" x14ac:dyDescent="0.25">
      <c r="A37" s="374"/>
      <c r="B37" s="385"/>
      <c r="C37" s="61" t="s">
        <v>52</v>
      </c>
      <c r="D37" s="62">
        <f>SUM(J37,L37,N37,P37,R37,T37,V37,X37,Z37,AB37,AD37,AF37)</f>
        <v>2200</v>
      </c>
      <c r="E37" s="62">
        <f>J37+L37+N37+P37</f>
        <v>0</v>
      </c>
      <c r="F37" s="62">
        <f>G37</f>
        <v>0</v>
      </c>
      <c r="G37" s="62">
        <f>SUM(K37,M37,O37,Q37,S37,U37,W37,Y37,AA37,AC37,AE37,AG37)</f>
        <v>0</v>
      </c>
      <c r="H37" s="62">
        <f>IFERROR(G37/D37*100,0)</f>
        <v>0</v>
      </c>
      <c r="I37" s="62">
        <f>IFERROR(G37/E37*100,0)</f>
        <v>0</v>
      </c>
      <c r="J37" s="63">
        <v>0</v>
      </c>
      <c r="K37" s="63">
        <v>0</v>
      </c>
      <c r="L37" s="63">
        <v>0</v>
      </c>
      <c r="M37" s="63">
        <v>0</v>
      </c>
      <c r="N37" s="63">
        <v>0</v>
      </c>
      <c r="O37" s="63">
        <v>0</v>
      </c>
      <c r="P37" s="63">
        <v>0</v>
      </c>
      <c r="Q37" s="63">
        <v>0</v>
      </c>
      <c r="R37" s="63">
        <v>0</v>
      </c>
      <c r="S37" s="63">
        <v>0</v>
      </c>
      <c r="T37" s="63">
        <v>0</v>
      </c>
      <c r="U37" s="63">
        <v>0</v>
      </c>
      <c r="V37" s="63">
        <v>0</v>
      </c>
      <c r="W37" s="63">
        <v>0</v>
      </c>
      <c r="X37" s="63">
        <v>0</v>
      </c>
      <c r="Y37" s="63">
        <v>0</v>
      </c>
      <c r="Z37" s="63">
        <v>0</v>
      </c>
      <c r="AA37" s="63">
        <v>0</v>
      </c>
      <c r="AB37" s="63">
        <v>0</v>
      </c>
      <c r="AC37" s="63">
        <v>0</v>
      </c>
      <c r="AD37" s="63">
        <v>0</v>
      </c>
      <c r="AE37" s="63">
        <v>0</v>
      </c>
      <c r="AF37" s="63">
        <v>2200</v>
      </c>
      <c r="AG37" s="63">
        <v>0</v>
      </c>
      <c r="AH37" s="349"/>
      <c r="AI37" s="19"/>
    </row>
    <row r="38" spans="1:35" s="18" customFormat="1" ht="58.5" customHeight="1" x14ac:dyDescent="0.25">
      <c r="A38" s="375"/>
      <c r="B38" s="385"/>
      <c r="C38" s="61" t="s">
        <v>22</v>
      </c>
      <c r="D38" s="62">
        <f>SUM(J38,L38,N38,P38,R38,T38,V38,X38,Z38,AB38,AD38,AF38)</f>
        <v>2.1</v>
      </c>
      <c r="E38" s="62">
        <f>J38+L38+N38+P38</f>
        <v>2.1</v>
      </c>
      <c r="F38" s="62">
        <f>G38</f>
        <v>2.1</v>
      </c>
      <c r="G38" s="62">
        <f>SUM(K38,M38,O38,Q38,S38,U38,W38,Y38,AA38,AC38,AE38,AG38)</f>
        <v>2.1</v>
      </c>
      <c r="H38" s="62">
        <f>IFERROR(G38/D38*100,0)</f>
        <v>100</v>
      </c>
      <c r="I38" s="62">
        <f>IFERROR(G38/E38*100,0)</f>
        <v>100</v>
      </c>
      <c r="J38" s="63">
        <v>0</v>
      </c>
      <c r="K38" s="63">
        <v>0</v>
      </c>
      <c r="L38" s="63">
        <v>0</v>
      </c>
      <c r="M38" s="63">
        <v>0</v>
      </c>
      <c r="N38" s="63">
        <v>2.1</v>
      </c>
      <c r="O38" s="63">
        <v>2.1</v>
      </c>
      <c r="P38" s="63">
        <v>0</v>
      </c>
      <c r="Q38" s="63">
        <v>0</v>
      </c>
      <c r="R38" s="63">
        <v>0</v>
      </c>
      <c r="S38" s="63">
        <v>0</v>
      </c>
      <c r="T38" s="63">
        <v>0</v>
      </c>
      <c r="U38" s="63">
        <v>0</v>
      </c>
      <c r="V38" s="63">
        <v>0</v>
      </c>
      <c r="W38" s="63">
        <v>0</v>
      </c>
      <c r="X38" s="63">
        <v>0</v>
      </c>
      <c r="Y38" s="63">
        <v>0</v>
      </c>
      <c r="Z38" s="63">
        <v>0</v>
      </c>
      <c r="AA38" s="63">
        <v>0</v>
      </c>
      <c r="AB38" s="63">
        <v>0</v>
      </c>
      <c r="AC38" s="63">
        <v>0</v>
      </c>
      <c r="AD38" s="63">
        <v>0</v>
      </c>
      <c r="AE38" s="63">
        <v>0</v>
      </c>
      <c r="AF38" s="63">
        <v>0</v>
      </c>
      <c r="AG38" s="63">
        <v>0</v>
      </c>
      <c r="AH38" s="350"/>
      <c r="AI38" s="19"/>
    </row>
    <row r="39" spans="1:35" s="28" customFormat="1" ht="21" customHeight="1" x14ac:dyDescent="0.25">
      <c r="A39" s="89"/>
      <c r="B39" s="426" t="s">
        <v>32</v>
      </c>
      <c r="C39" s="427"/>
      <c r="D39" s="427"/>
      <c r="E39" s="427"/>
      <c r="F39" s="427"/>
      <c r="G39" s="427"/>
      <c r="H39" s="427"/>
      <c r="I39" s="427"/>
      <c r="J39" s="427"/>
      <c r="K39" s="427"/>
      <c r="L39" s="427"/>
      <c r="M39" s="427"/>
      <c r="N39" s="427"/>
      <c r="O39" s="427"/>
      <c r="P39" s="427"/>
      <c r="Q39" s="427"/>
      <c r="R39" s="427"/>
      <c r="S39" s="427"/>
      <c r="T39" s="427"/>
      <c r="U39" s="427"/>
      <c r="V39" s="427"/>
      <c r="W39" s="427"/>
      <c r="X39" s="427"/>
      <c r="Y39" s="427"/>
      <c r="Z39" s="427"/>
      <c r="AA39" s="427"/>
      <c r="AB39" s="427"/>
      <c r="AC39" s="427"/>
      <c r="AD39" s="427"/>
      <c r="AE39" s="427"/>
      <c r="AF39" s="427"/>
      <c r="AG39" s="428"/>
      <c r="AH39" s="43"/>
      <c r="AI39" s="27"/>
    </row>
    <row r="40" spans="1:35" s="30" customFormat="1" ht="27" customHeight="1" x14ac:dyDescent="0.25">
      <c r="A40" s="420" t="s">
        <v>69</v>
      </c>
      <c r="B40" s="423" t="s">
        <v>34</v>
      </c>
      <c r="C40" s="81" t="s">
        <v>20</v>
      </c>
      <c r="D40" s="82">
        <f>D41</f>
        <v>29485.597000000002</v>
      </c>
      <c r="E40" s="82">
        <f t="shared" ref="E40:G40" si="134">E41</f>
        <v>11479.286</v>
      </c>
      <c r="F40" s="82">
        <f t="shared" si="134"/>
        <v>8071.9</v>
      </c>
      <c r="G40" s="82">
        <f t="shared" si="134"/>
        <v>8071.9</v>
      </c>
      <c r="H40" s="82">
        <f t="shared" ref="H40:H49" si="135">IFERROR(G40/D40*100,0)</f>
        <v>27.375738737797985</v>
      </c>
      <c r="I40" s="82">
        <f t="shared" ref="I40:I49" si="136">IFERROR(G40/E40*100,0)</f>
        <v>70.317091150094186</v>
      </c>
      <c r="J40" s="83">
        <f t="shared" ref="J40:AG40" si="137">SUM(J41:J41)</f>
        <v>4244.8339999999998</v>
      </c>
      <c r="K40" s="83">
        <f t="shared" si="137"/>
        <v>1300.79</v>
      </c>
      <c r="L40" s="83">
        <f t="shared" si="137"/>
        <v>2510.96</v>
      </c>
      <c r="M40" s="83">
        <f t="shared" si="137"/>
        <v>2741.24</v>
      </c>
      <c r="N40" s="83">
        <f t="shared" si="137"/>
        <v>1683.846</v>
      </c>
      <c r="O40" s="83">
        <f t="shared" si="137"/>
        <v>1950.12</v>
      </c>
      <c r="P40" s="83">
        <f t="shared" si="137"/>
        <v>3039.6460000000002</v>
      </c>
      <c r="Q40" s="83">
        <f t="shared" si="137"/>
        <v>2079.75</v>
      </c>
      <c r="R40" s="83">
        <f t="shared" si="137"/>
        <v>2283.9920000000002</v>
      </c>
      <c r="S40" s="83">
        <f t="shared" si="137"/>
        <v>0</v>
      </c>
      <c r="T40" s="83">
        <f t="shared" si="137"/>
        <v>1776.146</v>
      </c>
      <c r="U40" s="83">
        <f t="shared" si="137"/>
        <v>0</v>
      </c>
      <c r="V40" s="83">
        <f t="shared" si="137"/>
        <v>3039.6460000000002</v>
      </c>
      <c r="W40" s="83">
        <f t="shared" si="137"/>
        <v>0</v>
      </c>
      <c r="X40" s="83">
        <f t="shared" si="137"/>
        <v>2283.9920000000002</v>
      </c>
      <c r="Y40" s="83">
        <f t="shared" si="137"/>
        <v>0</v>
      </c>
      <c r="Z40" s="83">
        <f t="shared" si="137"/>
        <v>1776.146</v>
      </c>
      <c r="AA40" s="83">
        <f t="shared" si="137"/>
        <v>0</v>
      </c>
      <c r="AB40" s="83">
        <f t="shared" si="137"/>
        <v>2498.6469999999999</v>
      </c>
      <c r="AC40" s="83">
        <f t="shared" si="137"/>
        <v>0</v>
      </c>
      <c r="AD40" s="83">
        <f t="shared" si="137"/>
        <v>2120.52</v>
      </c>
      <c r="AE40" s="83">
        <f t="shared" si="137"/>
        <v>0</v>
      </c>
      <c r="AF40" s="83">
        <f t="shared" si="137"/>
        <v>2227.2220000000002</v>
      </c>
      <c r="AG40" s="83">
        <f t="shared" si="137"/>
        <v>0</v>
      </c>
      <c r="AH40" s="367"/>
      <c r="AI40" s="29"/>
    </row>
    <row r="41" spans="1:35" s="31" customFormat="1" ht="72" customHeight="1" x14ac:dyDescent="0.25">
      <c r="A41" s="422"/>
      <c r="B41" s="425"/>
      <c r="C41" s="73" t="s">
        <v>21</v>
      </c>
      <c r="D41" s="74">
        <f>SUM(J41,L41,N41,P41,R41,T41,V41,X41,Z41,AB41,AD41,AF41)</f>
        <v>29485.597000000002</v>
      </c>
      <c r="E41" s="74">
        <f>J41+L41+N41+P41</f>
        <v>11479.286</v>
      </c>
      <c r="F41" s="74">
        <f>G41</f>
        <v>8071.9</v>
      </c>
      <c r="G41" s="74">
        <f>SUM(K41,M41,O41,Q41,S41,U41,W41,Y41,AA41,AC41,AE41,AG41)</f>
        <v>8071.9</v>
      </c>
      <c r="H41" s="74">
        <f t="shared" si="135"/>
        <v>27.375738737797985</v>
      </c>
      <c r="I41" s="74">
        <f>IFERROR(G41/E41*100,0)</f>
        <v>70.317091150094186</v>
      </c>
      <c r="J41" s="67">
        <f>J43+J45</f>
        <v>4244.8339999999998</v>
      </c>
      <c r="K41" s="67">
        <f t="shared" ref="K41:AG41" si="138">K43+K45</f>
        <v>1300.79</v>
      </c>
      <c r="L41" s="67">
        <f t="shared" si="138"/>
        <v>2510.96</v>
      </c>
      <c r="M41" s="67">
        <f t="shared" si="138"/>
        <v>2741.24</v>
      </c>
      <c r="N41" s="67">
        <f t="shared" si="138"/>
        <v>1683.846</v>
      </c>
      <c r="O41" s="67">
        <f t="shared" si="138"/>
        <v>1950.12</v>
      </c>
      <c r="P41" s="67">
        <f t="shared" si="138"/>
        <v>3039.6460000000002</v>
      </c>
      <c r="Q41" s="67">
        <f t="shared" si="138"/>
        <v>2079.75</v>
      </c>
      <c r="R41" s="67">
        <f t="shared" si="138"/>
        <v>2283.9920000000002</v>
      </c>
      <c r="S41" s="67">
        <f t="shared" si="138"/>
        <v>0</v>
      </c>
      <c r="T41" s="67">
        <f t="shared" si="138"/>
        <v>1776.146</v>
      </c>
      <c r="U41" s="67">
        <f t="shared" si="138"/>
        <v>0</v>
      </c>
      <c r="V41" s="67">
        <f t="shared" si="138"/>
        <v>3039.6460000000002</v>
      </c>
      <c r="W41" s="67">
        <f t="shared" si="138"/>
        <v>0</v>
      </c>
      <c r="X41" s="67">
        <f t="shared" si="138"/>
        <v>2283.9920000000002</v>
      </c>
      <c r="Y41" s="67">
        <f t="shared" si="138"/>
        <v>0</v>
      </c>
      <c r="Z41" s="67">
        <f t="shared" si="138"/>
        <v>1776.146</v>
      </c>
      <c r="AA41" s="67">
        <f t="shared" si="138"/>
        <v>0</v>
      </c>
      <c r="AB41" s="67">
        <f t="shared" si="138"/>
        <v>2498.6469999999999</v>
      </c>
      <c r="AC41" s="67">
        <f t="shared" si="138"/>
        <v>0</v>
      </c>
      <c r="AD41" s="67">
        <f t="shared" si="138"/>
        <v>2120.52</v>
      </c>
      <c r="AE41" s="67">
        <f t="shared" si="138"/>
        <v>0</v>
      </c>
      <c r="AF41" s="67">
        <f t="shared" si="138"/>
        <v>2227.2220000000002</v>
      </c>
      <c r="AG41" s="67">
        <f t="shared" si="138"/>
        <v>0</v>
      </c>
      <c r="AH41" s="369"/>
      <c r="AI41" s="29"/>
    </row>
    <row r="42" spans="1:35" s="10" customFormat="1" ht="18.75" customHeight="1" x14ac:dyDescent="0.25">
      <c r="A42" s="402"/>
      <c r="B42" s="384" t="s">
        <v>70</v>
      </c>
      <c r="C42" s="69" t="s">
        <v>20</v>
      </c>
      <c r="D42" s="70">
        <f>D43</f>
        <v>10619.999999999998</v>
      </c>
      <c r="E42" s="70">
        <f t="shared" ref="E42" si="139">E43</f>
        <v>4116.6019999999999</v>
      </c>
      <c r="F42" s="70">
        <f t="shared" ref="F42" si="140">F43</f>
        <v>2297.87</v>
      </c>
      <c r="G42" s="70">
        <f t="shared" ref="G42" si="141">G43</f>
        <v>2297.87</v>
      </c>
      <c r="H42" s="70">
        <f t="shared" si="135"/>
        <v>21.637193973634655</v>
      </c>
      <c r="I42" s="70">
        <f t="shared" si="136"/>
        <v>55.819581295447072</v>
      </c>
      <c r="J42" s="71">
        <f t="shared" ref="J42:AG42" si="142">SUM(J43:J43)</f>
        <v>1487.683</v>
      </c>
      <c r="K42" s="71">
        <f t="shared" si="142"/>
        <v>0</v>
      </c>
      <c r="L42" s="71">
        <f t="shared" si="142"/>
        <v>878.49800000000005</v>
      </c>
      <c r="M42" s="71">
        <f t="shared" si="142"/>
        <v>916.68000000000006</v>
      </c>
      <c r="N42" s="71">
        <f t="shared" si="142"/>
        <v>683.37599999999998</v>
      </c>
      <c r="O42" s="71">
        <f t="shared" si="142"/>
        <v>565.49</v>
      </c>
      <c r="P42" s="71">
        <f t="shared" si="142"/>
        <v>1067.0450000000001</v>
      </c>
      <c r="Q42" s="71">
        <f t="shared" si="142"/>
        <v>815.7</v>
      </c>
      <c r="R42" s="71">
        <f t="shared" si="142"/>
        <v>799.24400000000003</v>
      </c>
      <c r="S42" s="71">
        <f t="shared" si="142"/>
        <v>0</v>
      </c>
      <c r="T42" s="71">
        <f t="shared" si="142"/>
        <v>683.37599999999998</v>
      </c>
      <c r="U42" s="71">
        <f t="shared" si="142"/>
        <v>0</v>
      </c>
      <c r="V42" s="71">
        <f t="shared" si="142"/>
        <v>1067.0450000000001</v>
      </c>
      <c r="W42" s="71">
        <f t="shared" si="142"/>
        <v>0</v>
      </c>
      <c r="X42" s="71">
        <f t="shared" si="142"/>
        <v>799.24400000000003</v>
      </c>
      <c r="Y42" s="71">
        <f t="shared" si="142"/>
        <v>0</v>
      </c>
      <c r="Z42" s="71">
        <f t="shared" si="142"/>
        <v>683.37599999999998</v>
      </c>
      <c r="AA42" s="71">
        <f t="shared" si="142"/>
        <v>0</v>
      </c>
      <c r="AB42" s="71">
        <f t="shared" si="142"/>
        <v>875.51099999999997</v>
      </c>
      <c r="AC42" s="71">
        <f t="shared" si="142"/>
        <v>0</v>
      </c>
      <c r="AD42" s="71">
        <f t="shared" si="142"/>
        <v>741.31</v>
      </c>
      <c r="AE42" s="71">
        <f t="shared" si="142"/>
        <v>0</v>
      </c>
      <c r="AF42" s="71">
        <f t="shared" si="142"/>
        <v>854.29200000000003</v>
      </c>
      <c r="AG42" s="71">
        <f t="shared" si="142"/>
        <v>0</v>
      </c>
      <c r="AH42" s="367"/>
    </row>
    <row r="43" spans="1:35" s="10" customFormat="1" ht="31.5" x14ac:dyDescent="0.25">
      <c r="A43" s="403"/>
      <c r="B43" s="385"/>
      <c r="C43" s="73" t="s">
        <v>21</v>
      </c>
      <c r="D43" s="74">
        <f>SUM(J43,L43,N43,P43,R43,T43,V43,X43,Z43,AB43,AD43,AF43)</f>
        <v>10619.999999999998</v>
      </c>
      <c r="E43" s="74">
        <f>J43+L43+N43+P43</f>
        <v>4116.6019999999999</v>
      </c>
      <c r="F43" s="74">
        <f>G43</f>
        <v>2297.87</v>
      </c>
      <c r="G43" s="74">
        <f>SUM(K43,M43,O43,Q43,S43,U43,W43,Y43,AA43,AC43,AE43,AG43)</f>
        <v>2297.87</v>
      </c>
      <c r="H43" s="74">
        <f t="shared" si="135"/>
        <v>21.637193973634655</v>
      </c>
      <c r="I43" s="74">
        <f t="shared" si="136"/>
        <v>55.819581295447072</v>
      </c>
      <c r="J43" s="67">
        <v>1487.683</v>
      </c>
      <c r="K43" s="67">
        <v>0</v>
      </c>
      <c r="L43" s="67">
        <v>878.49800000000005</v>
      </c>
      <c r="M43" s="67">
        <f>651.5+265.18</f>
        <v>916.68000000000006</v>
      </c>
      <c r="N43" s="67">
        <v>683.37599999999998</v>
      </c>
      <c r="O43" s="67">
        <f>165.52+399.97</f>
        <v>565.49</v>
      </c>
      <c r="P43" s="67">
        <v>1067.0450000000001</v>
      </c>
      <c r="Q43" s="67">
        <v>815.7</v>
      </c>
      <c r="R43" s="67">
        <v>799.24400000000003</v>
      </c>
      <c r="S43" s="67">
        <v>0</v>
      </c>
      <c r="T43" s="67">
        <v>683.37599999999998</v>
      </c>
      <c r="U43" s="67">
        <v>0</v>
      </c>
      <c r="V43" s="67">
        <v>1067.0450000000001</v>
      </c>
      <c r="W43" s="67">
        <v>0</v>
      </c>
      <c r="X43" s="67">
        <v>799.24400000000003</v>
      </c>
      <c r="Y43" s="67">
        <v>0</v>
      </c>
      <c r="Z43" s="67">
        <v>683.37599999999998</v>
      </c>
      <c r="AA43" s="67">
        <v>0</v>
      </c>
      <c r="AB43" s="67">
        <v>875.51099999999997</v>
      </c>
      <c r="AC43" s="67">
        <v>0</v>
      </c>
      <c r="AD43" s="67">
        <v>741.31</v>
      </c>
      <c r="AE43" s="67">
        <v>0</v>
      </c>
      <c r="AF43" s="67">
        <v>854.29200000000003</v>
      </c>
      <c r="AG43" s="67">
        <v>0</v>
      </c>
      <c r="AH43" s="369"/>
    </row>
    <row r="44" spans="1:35" s="10" customFormat="1" ht="63" customHeight="1" x14ac:dyDescent="0.25">
      <c r="A44" s="402"/>
      <c r="B44" s="386" t="s">
        <v>71</v>
      </c>
      <c r="C44" s="69" t="s">
        <v>20</v>
      </c>
      <c r="D44" s="70">
        <f>D45</f>
        <v>18865.597000000002</v>
      </c>
      <c r="E44" s="70">
        <f t="shared" ref="E44" si="143">E45</f>
        <v>7362.6839999999993</v>
      </c>
      <c r="F44" s="70">
        <f t="shared" ref="F44" si="144">F45</f>
        <v>5774.03</v>
      </c>
      <c r="G44" s="70">
        <f t="shared" ref="G44" si="145">G45</f>
        <v>5774.03</v>
      </c>
      <c r="H44" s="70">
        <f t="shared" si="135"/>
        <v>30.606134542150983</v>
      </c>
      <c r="I44" s="70">
        <f t="shared" si="136"/>
        <v>78.422895780940763</v>
      </c>
      <c r="J44" s="71">
        <f t="shared" ref="J44:AG44" si="146">SUM(J45:J45)</f>
        <v>2757.1509999999998</v>
      </c>
      <c r="K44" s="71">
        <f t="shared" si="146"/>
        <v>1300.79</v>
      </c>
      <c r="L44" s="71">
        <f t="shared" si="146"/>
        <v>1632.462</v>
      </c>
      <c r="M44" s="71">
        <f t="shared" si="146"/>
        <v>1824.56</v>
      </c>
      <c r="N44" s="71">
        <f t="shared" si="146"/>
        <v>1000.47</v>
      </c>
      <c r="O44" s="71">
        <f t="shared" si="146"/>
        <v>1384.6299999999999</v>
      </c>
      <c r="P44" s="71">
        <f t="shared" si="146"/>
        <v>1972.6010000000001</v>
      </c>
      <c r="Q44" s="71">
        <f t="shared" si="146"/>
        <v>1264.05</v>
      </c>
      <c r="R44" s="71">
        <f t="shared" si="146"/>
        <v>1484.748</v>
      </c>
      <c r="S44" s="71">
        <f t="shared" si="146"/>
        <v>0</v>
      </c>
      <c r="T44" s="71">
        <f t="shared" si="146"/>
        <v>1092.77</v>
      </c>
      <c r="U44" s="71">
        <f t="shared" si="146"/>
        <v>0</v>
      </c>
      <c r="V44" s="71">
        <f t="shared" si="146"/>
        <v>1972.6010000000001</v>
      </c>
      <c r="W44" s="71">
        <f t="shared" si="146"/>
        <v>0</v>
      </c>
      <c r="X44" s="71">
        <f t="shared" si="146"/>
        <v>1484.748</v>
      </c>
      <c r="Y44" s="71">
        <f t="shared" si="146"/>
        <v>0</v>
      </c>
      <c r="Z44" s="71">
        <f t="shared" si="146"/>
        <v>1092.77</v>
      </c>
      <c r="AA44" s="71">
        <f t="shared" si="146"/>
        <v>0</v>
      </c>
      <c r="AB44" s="71">
        <f t="shared" si="146"/>
        <v>1623.136</v>
      </c>
      <c r="AC44" s="71">
        <f t="shared" si="146"/>
        <v>0</v>
      </c>
      <c r="AD44" s="71">
        <f t="shared" si="146"/>
        <v>1379.21</v>
      </c>
      <c r="AE44" s="71">
        <f t="shared" si="146"/>
        <v>0</v>
      </c>
      <c r="AF44" s="71">
        <f t="shared" si="146"/>
        <v>1372.93</v>
      </c>
      <c r="AG44" s="71">
        <f t="shared" si="146"/>
        <v>0</v>
      </c>
      <c r="AH44" s="409" t="s">
        <v>373</v>
      </c>
    </row>
    <row r="45" spans="1:35" s="10" customFormat="1" ht="118.5" customHeight="1" x14ac:dyDescent="0.25">
      <c r="A45" s="403"/>
      <c r="B45" s="386"/>
      <c r="C45" s="73" t="s">
        <v>21</v>
      </c>
      <c r="D45" s="74">
        <f>SUM(J45,L45,N45,P45,R45,T45,V45,X45,Z45,AB45,AD45,AF45)</f>
        <v>18865.597000000002</v>
      </c>
      <c r="E45" s="74">
        <f>J45+L45+N45+P45</f>
        <v>7362.6839999999993</v>
      </c>
      <c r="F45" s="74">
        <f>G45</f>
        <v>5774.03</v>
      </c>
      <c r="G45" s="74">
        <f>SUM(K45,M45,O45,Q45,S45,U45,W45,Y45,AA45,AC45,AE45,AG45)</f>
        <v>5774.03</v>
      </c>
      <c r="H45" s="74">
        <f t="shared" si="135"/>
        <v>30.606134542150983</v>
      </c>
      <c r="I45" s="74">
        <f t="shared" si="136"/>
        <v>78.422895780940763</v>
      </c>
      <c r="J45" s="67">
        <v>2757.1509999999998</v>
      </c>
      <c r="K45" s="67">
        <v>1300.79</v>
      </c>
      <c r="L45" s="67">
        <v>1632.462</v>
      </c>
      <c r="M45" s="67">
        <f>578.82+1245.74</f>
        <v>1824.56</v>
      </c>
      <c r="N45" s="67">
        <v>1000.47</v>
      </c>
      <c r="O45" s="67">
        <f>305.35+1065.25+14.03</f>
        <v>1384.6299999999999</v>
      </c>
      <c r="P45" s="67">
        <v>1972.6010000000001</v>
      </c>
      <c r="Q45" s="67">
        <v>1264.05</v>
      </c>
      <c r="R45" s="67">
        <v>1484.748</v>
      </c>
      <c r="S45" s="67">
        <v>0</v>
      </c>
      <c r="T45" s="67">
        <v>1092.77</v>
      </c>
      <c r="U45" s="67">
        <v>0</v>
      </c>
      <c r="V45" s="67">
        <v>1972.6010000000001</v>
      </c>
      <c r="W45" s="67">
        <v>0</v>
      </c>
      <c r="X45" s="67">
        <v>1484.748</v>
      </c>
      <c r="Y45" s="67">
        <v>0</v>
      </c>
      <c r="Z45" s="67">
        <v>1092.77</v>
      </c>
      <c r="AA45" s="67">
        <v>0</v>
      </c>
      <c r="AB45" s="67">
        <v>1623.136</v>
      </c>
      <c r="AC45" s="67">
        <v>0</v>
      </c>
      <c r="AD45" s="67">
        <v>1379.21</v>
      </c>
      <c r="AE45" s="67">
        <v>0</v>
      </c>
      <c r="AF45" s="67">
        <v>1372.93</v>
      </c>
      <c r="AG45" s="67">
        <v>0</v>
      </c>
      <c r="AH45" s="410"/>
    </row>
    <row r="46" spans="1:35" ht="15.75" x14ac:dyDescent="0.25">
      <c r="A46" s="420" t="s">
        <v>72</v>
      </c>
      <c r="B46" s="423" t="s">
        <v>73</v>
      </c>
      <c r="C46" s="81" t="s">
        <v>20</v>
      </c>
      <c r="D46" s="82">
        <f>D47</f>
        <v>85066</v>
      </c>
      <c r="E46" s="82">
        <f t="shared" ref="E46" si="147">E47</f>
        <v>26812.710000000003</v>
      </c>
      <c r="F46" s="82">
        <f t="shared" ref="F46" si="148">F47</f>
        <v>25878.739999999998</v>
      </c>
      <c r="G46" s="82">
        <f t="shared" ref="G46" si="149">G47</f>
        <v>25878.739999999998</v>
      </c>
      <c r="H46" s="82">
        <f t="shared" si="135"/>
        <v>30.421954717513454</v>
      </c>
      <c r="I46" s="82">
        <f t="shared" si="136"/>
        <v>96.516689286536106</v>
      </c>
      <c r="J46" s="83">
        <f t="shared" ref="J46:AG46" si="150">SUM(J47:J47)</f>
        <v>6354.62</v>
      </c>
      <c r="K46" s="83">
        <f t="shared" si="150"/>
        <v>6145.18</v>
      </c>
      <c r="L46" s="83">
        <f t="shared" si="150"/>
        <v>8341.69</v>
      </c>
      <c r="M46" s="83">
        <f t="shared" si="150"/>
        <v>7922.46</v>
      </c>
      <c r="N46" s="83">
        <f t="shared" si="150"/>
        <v>5571.74</v>
      </c>
      <c r="O46" s="83">
        <f t="shared" si="150"/>
        <v>5202.1099999999997</v>
      </c>
      <c r="P46" s="83">
        <f t="shared" si="150"/>
        <v>6544.66</v>
      </c>
      <c r="Q46" s="83">
        <f t="shared" si="150"/>
        <v>6608.99</v>
      </c>
      <c r="R46" s="83">
        <f t="shared" si="150"/>
        <v>6096.04</v>
      </c>
      <c r="S46" s="83">
        <f t="shared" si="150"/>
        <v>0</v>
      </c>
      <c r="T46" s="83">
        <f t="shared" si="150"/>
        <v>7661.88</v>
      </c>
      <c r="U46" s="83">
        <f t="shared" si="150"/>
        <v>0</v>
      </c>
      <c r="V46" s="83">
        <f t="shared" si="150"/>
        <v>8789.31</v>
      </c>
      <c r="W46" s="83">
        <f t="shared" si="150"/>
        <v>0</v>
      </c>
      <c r="X46" s="83">
        <f t="shared" si="150"/>
        <v>7209.08</v>
      </c>
      <c r="Y46" s="83">
        <f t="shared" si="150"/>
        <v>0</v>
      </c>
      <c r="Z46" s="83">
        <f t="shared" si="150"/>
        <v>6501</v>
      </c>
      <c r="AA46" s="83">
        <f t="shared" si="150"/>
        <v>0</v>
      </c>
      <c r="AB46" s="83">
        <f t="shared" si="150"/>
        <v>7681.76</v>
      </c>
      <c r="AC46" s="83">
        <f t="shared" si="150"/>
        <v>0</v>
      </c>
      <c r="AD46" s="83">
        <f t="shared" si="150"/>
        <v>6037.22</v>
      </c>
      <c r="AE46" s="83">
        <f t="shared" si="150"/>
        <v>0</v>
      </c>
      <c r="AF46" s="83">
        <f t="shared" si="150"/>
        <v>8277</v>
      </c>
      <c r="AG46" s="83">
        <f t="shared" si="150"/>
        <v>0</v>
      </c>
      <c r="AH46" s="367"/>
    </row>
    <row r="47" spans="1:35" ht="96" customHeight="1" x14ac:dyDescent="0.25">
      <c r="A47" s="422"/>
      <c r="B47" s="425"/>
      <c r="C47" s="73" t="s">
        <v>21</v>
      </c>
      <c r="D47" s="74">
        <f>SUM(J47,L47,N47,P47,R47,T47,V47,X47,Z47,AB47,AD47,AF47)</f>
        <v>85066</v>
      </c>
      <c r="E47" s="74">
        <f>J47+L47+N47+P47</f>
        <v>26812.710000000003</v>
      </c>
      <c r="F47" s="74">
        <f>G47</f>
        <v>25878.739999999998</v>
      </c>
      <c r="G47" s="74">
        <f>SUM(K47,M47,O47,Q47,S47,U47,W47,Y47,AA47,AC47,AE47,AG47)</f>
        <v>25878.739999999998</v>
      </c>
      <c r="H47" s="74">
        <f t="shared" si="135"/>
        <v>30.421954717513454</v>
      </c>
      <c r="I47" s="74">
        <f t="shared" si="136"/>
        <v>96.516689286536106</v>
      </c>
      <c r="J47" s="67">
        <f>J49+J51</f>
        <v>6354.62</v>
      </c>
      <c r="K47" s="67">
        <f t="shared" ref="K47:AG47" si="151">K49+K51</f>
        <v>6145.18</v>
      </c>
      <c r="L47" s="67">
        <f t="shared" si="151"/>
        <v>8341.69</v>
      </c>
      <c r="M47" s="67">
        <f t="shared" si="151"/>
        <v>7922.46</v>
      </c>
      <c r="N47" s="67">
        <f t="shared" si="151"/>
        <v>5571.74</v>
      </c>
      <c r="O47" s="67">
        <f t="shared" si="151"/>
        <v>5202.1099999999997</v>
      </c>
      <c r="P47" s="67">
        <f t="shared" si="151"/>
        <v>6544.66</v>
      </c>
      <c r="Q47" s="67">
        <f t="shared" si="151"/>
        <v>6608.99</v>
      </c>
      <c r="R47" s="67">
        <f t="shared" si="151"/>
        <v>6096.04</v>
      </c>
      <c r="S47" s="67">
        <f t="shared" si="151"/>
        <v>0</v>
      </c>
      <c r="T47" s="67">
        <f t="shared" si="151"/>
        <v>7661.88</v>
      </c>
      <c r="U47" s="67">
        <f t="shared" si="151"/>
        <v>0</v>
      </c>
      <c r="V47" s="67">
        <f t="shared" si="151"/>
        <v>8789.31</v>
      </c>
      <c r="W47" s="67">
        <f t="shared" si="151"/>
        <v>0</v>
      </c>
      <c r="X47" s="67">
        <f t="shared" si="151"/>
        <v>7209.08</v>
      </c>
      <c r="Y47" s="67">
        <f t="shared" si="151"/>
        <v>0</v>
      </c>
      <c r="Z47" s="67">
        <f t="shared" si="151"/>
        <v>6501</v>
      </c>
      <c r="AA47" s="67">
        <f t="shared" si="151"/>
        <v>0</v>
      </c>
      <c r="AB47" s="67">
        <f t="shared" si="151"/>
        <v>7681.76</v>
      </c>
      <c r="AC47" s="67">
        <f t="shared" si="151"/>
        <v>0</v>
      </c>
      <c r="AD47" s="67">
        <f t="shared" si="151"/>
        <v>6037.22</v>
      </c>
      <c r="AE47" s="67">
        <f t="shared" si="151"/>
        <v>0</v>
      </c>
      <c r="AF47" s="67">
        <f t="shared" si="151"/>
        <v>8277</v>
      </c>
      <c r="AG47" s="67">
        <f t="shared" si="151"/>
        <v>0</v>
      </c>
      <c r="AH47" s="369"/>
    </row>
    <row r="48" spans="1:35" ht="39" customHeight="1" x14ac:dyDescent="0.25">
      <c r="A48" s="402"/>
      <c r="B48" s="386" t="s">
        <v>74</v>
      </c>
      <c r="C48" s="69" t="s">
        <v>20</v>
      </c>
      <c r="D48" s="70">
        <f>D49</f>
        <v>85066</v>
      </c>
      <c r="E48" s="70">
        <f t="shared" ref="E48" si="152">E49</f>
        <v>26812.710000000003</v>
      </c>
      <c r="F48" s="70">
        <f t="shared" ref="F48" si="153">F49</f>
        <v>25878.739999999998</v>
      </c>
      <c r="G48" s="70">
        <f t="shared" ref="G48" si="154">G49</f>
        <v>25878.739999999998</v>
      </c>
      <c r="H48" s="70">
        <f t="shared" si="135"/>
        <v>30.421954717513454</v>
      </c>
      <c r="I48" s="70">
        <f t="shared" si="136"/>
        <v>96.516689286536106</v>
      </c>
      <c r="J48" s="71">
        <f t="shared" ref="J48:AG48" si="155">SUM(J49:J49)</f>
        <v>6354.62</v>
      </c>
      <c r="K48" s="71">
        <f t="shared" si="155"/>
        <v>6145.18</v>
      </c>
      <c r="L48" s="71">
        <f t="shared" si="155"/>
        <v>8341.69</v>
      </c>
      <c r="M48" s="71">
        <f t="shared" si="155"/>
        <v>7922.46</v>
      </c>
      <c r="N48" s="71">
        <f t="shared" si="155"/>
        <v>5571.74</v>
      </c>
      <c r="O48" s="71">
        <f t="shared" si="155"/>
        <v>5202.1099999999997</v>
      </c>
      <c r="P48" s="71">
        <f t="shared" si="155"/>
        <v>6544.66</v>
      </c>
      <c r="Q48" s="71">
        <f t="shared" si="155"/>
        <v>6608.99</v>
      </c>
      <c r="R48" s="71">
        <f t="shared" si="155"/>
        <v>6096.04</v>
      </c>
      <c r="S48" s="71">
        <f t="shared" si="155"/>
        <v>0</v>
      </c>
      <c r="T48" s="71">
        <f t="shared" si="155"/>
        <v>7661.88</v>
      </c>
      <c r="U48" s="71">
        <f t="shared" si="155"/>
        <v>0</v>
      </c>
      <c r="V48" s="71">
        <f t="shared" si="155"/>
        <v>8789.31</v>
      </c>
      <c r="W48" s="71">
        <f t="shared" si="155"/>
        <v>0</v>
      </c>
      <c r="X48" s="71">
        <f t="shared" si="155"/>
        <v>7209.08</v>
      </c>
      <c r="Y48" s="71">
        <f t="shared" si="155"/>
        <v>0</v>
      </c>
      <c r="Z48" s="71">
        <f t="shared" si="155"/>
        <v>6501</v>
      </c>
      <c r="AA48" s="71">
        <f t="shared" si="155"/>
        <v>0</v>
      </c>
      <c r="AB48" s="71">
        <f t="shared" si="155"/>
        <v>7681.76</v>
      </c>
      <c r="AC48" s="71">
        <f t="shared" si="155"/>
        <v>0</v>
      </c>
      <c r="AD48" s="71">
        <f t="shared" si="155"/>
        <v>6037.22</v>
      </c>
      <c r="AE48" s="71">
        <f t="shared" si="155"/>
        <v>0</v>
      </c>
      <c r="AF48" s="71">
        <f t="shared" si="155"/>
        <v>8277</v>
      </c>
      <c r="AG48" s="71">
        <f t="shared" si="155"/>
        <v>0</v>
      </c>
      <c r="AH48" s="409" t="s">
        <v>370</v>
      </c>
    </row>
    <row r="49" spans="1:34" ht="84.75" customHeight="1" x14ac:dyDescent="0.25">
      <c r="A49" s="403"/>
      <c r="B49" s="386"/>
      <c r="C49" s="73" t="s">
        <v>21</v>
      </c>
      <c r="D49" s="74">
        <f>SUM(J49,L49,N49,P49,R49,T49,V49,X49,Z49,AB49,AD49,AF49)</f>
        <v>85066</v>
      </c>
      <c r="E49" s="74">
        <f>J49+L49+N49+P49</f>
        <v>26812.710000000003</v>
      </c>
      <c r="F49" s="74">
        <f>G49</f>
        <v>25878.739999999998</v>
      </c>
      <c r="G49" s="74">
        <f>SUM(K49,M49,O49,Q49,S49,U49,W49,Y49,AA49,AC49,AE49,AG49)</f>
        <v>25878.739999999998</v>
      </c>
      <c r="H49" s="74">
        <f t="shared" si="135"/>
        <v>30.421954717513454</v>
      </c>
      <c r="I49" s="74">
        <f t="shared" si="136"/>
        <v>96.516689286536106</v>
      </c>
      <c r="J49" s="67">
        <v>6354.62</v>
      </c>
      <c r="K49" s="67">
        <v>6145.18</v>
      </c>
      <c r="L49" s="67">
        <v>8341.69</v>
      </c>
      <c r="M49" s="67">
        <v>7922.46</v>
      </c>
      <c r="N49" s="67">
        <v>5571.74</v>
      </c>
      <c r="O49" s="67">
        <v>5202.1099999999997</v>
      </c>
      <c r="P49" s="67">
        <v>6544.66</v>
      </c>
      <c r="Q49" s="67">
        <v>6608.99</v>
      </c>
      <c r="R49" s="67">
        <v>6096.04</v>
      </c>
      <c r="S49" s="67">
        <v>0</v>
      </c>
      <c r="T49" s="67">
        <v>7661.88</v>
      </c>
      <c r="U49" s="67">
        <v>0</v>
      </c>
      <c r="V49" s="67">
        <v>8789.31</v>
      </c>
      <c r="W49" s="67">
        <v>0</v>
      </c>
      <c r="X49" s="67">
        <v>7209.08</v>
      </c>
      <c r="Y49" s="67">
        <v>0</v>
      </c>
      <c r="Z49" s="67">
        <v>6501</v>
      </c>
      <c r="AA49" s="67">
        <v>0</v>
      </c>
      <c r="AB49" s="67">
        <v>7681.76</v>
      </c>
      <c r="AC49" s="67">
        <v>0</v>
      </c>
      <c r="AD49" s="67">
        <v>6037.22</v>
      </c>
      <c r="AE49" s="67">
        <v>0</v>
      </c>
      <c r="AF49" s="67">
        <v>8277</v>
      </c>
      <c r="AG49" s="67">
        <v>0</v>
      </c>
      <c r="AH49" s="410"/>
    </row>
  </sheetData>
  <customSheetViews>
    <customSheetView guid="{2940A182-D1A7-43C5-8D6E-965BED4371B0}" scale="80" state="hidden">
      <pane xSplit="6" ySplit="7" topLeftCell="G16" activePane="bottomRight" state="frozen"/>
      <selection pane="bottomRight" activeCell="M28" sqref="M28"/>
      <pageMargins left="0.7" right="0.7" top="0.75" bottom="0.75" header="0.3" footer="0.3"/>
      <pageSetup paperSize="9" orientation="portrait" r:id="rId1"/>
    </customSheetView>
    <customSheetView guid="{BBF6B43F-E0FC-43DF-B91C-674F6AB4B556}" scale="80">
      <pane xSplit="6" ySplit="7" topLeftCell="G16" activePane="bottomRight" state="frozen"/>
      <selection pane="bottomRight" activeCell="M28" sqref="M28"/>
      <pageMargins left="0.7" right="0.7" top="0.75" bottom="0.75" header="0.3" footer="0.3"/>
      <pageSetup paperSize="9" orientation="portrait" r:id="rId2"/>
    </customSheetView>
    <customSheetView guid="{30B635D9-57DB-47D5-8A0F-4B30DD769960}" scale="80">
      <pane xSplit="6" ySplit="7" topLeftCell="G16" activePane="bottomRight" state="frozen"/>
      <selection pane="bottomRight" activeCell="M28" sqref="M28"/>
      <pageMargins left="0.7" right="0.7" top="0.75" bottom="0.75" header="0.3" footer="0.3"/>
      <pageSetup paperSize="9" orientation="portrait" r:id="rId3"/>
    </customSheetView>
    <customSheetView guid="{DAEDC989-02E7-4319-8354-59410ACF3F1F}" scale="80">
      <pane xSplit="6" ySplit="7" topLeftCell="G16" activePane="bottomRight" state="frozen"/>
      <selection pane="bottomRight" activeCell="M28" sqref="M28"/>
      <pageMargins left="0.7" right="0.7" top="0.75" bottom="0.75" header="0.3" footer="0.3"/>
      <pageSetup paperSize="9" orientation="portrait" r:id="rId4"/>
    </customSheetView>
    <customSheetView guid="{21E1D423-7B38-4272-8354-09B4DB62C9EB}" scale="80">
      <pane xSplit="6" ySplit="7" topLeftCell="G16" activePane="bottomRight" state="frozen"/>
      <selection pane="bottomRight" activeCell="M28" sqref="M28"/>
      <pageMargins left="0.7" right="0.7" top="0.75" bottom="0.75" header="0.3" footer="0.3"/>
      <pageSetup paperSize="9" orientation="portrait" r:id="rId5"/>
    </customSheetView>
    <customSheetView guid="{EA46B61D-849C-4795-A4FF-F8F1740022EB}" scale="80">
      <pane xSplit="6" ySplit="7" topLeftCell="G16" activePane="bottomRight" state="frozen"/>
      <selection pane="bottomRight" activeCell="M28" sqref="M28"/>
      <pageMargins left="0.7" right="0.7" top="0.75" bottom="0.75" header="0.3" footer="0.3"/>
      <pageSetup paperSize="9" orientation="portrait" r:id="rId6"/>
    </customSheetView>
    <customSheetView guid="{A0E2FBF6-E560-4343-8BE6-217DC798135B}" scale="80">
      <pane xSplit="6" ySplit="7" topLeftCell="G16" activePane="bottomRight" state="frozen"/>
      <selection pane="bottomRight" activeCell="M28" sqref="M28"/>
      <pageMargins left="0.7" right="0.7" top="0.75" bottom="0.75" header="0.3" footer="0.3"/>
      <pageSetup paperSize="9" orientation="portrait" r:id="rId7"/>
    </customSheetView>
    <customSheetView guid="{20A05A62-CBE8-4538-BBC3-2AD9D3B8FAC0}" scale="80">
      <pane xSplit="6" ySplit="7" topLeftCell="L23" activePane="bottomRight" state="frozen"/>
      <selection pane="bottomRight" activeCell="AD29" sqref="AD29"/>
      <pageMargins left="0.7" right="0.7" top="0.75" bottom="0.75" header="0.3" footer="0.3"/>
      <pageSetup paperSize="9" orientation="portrait" r:id="rId8"/>
    </customSheetView>
    <customSheetView guid="{A4AF2100-C59D-4F60-9EAB-56D9103463F7}" scale="80">
      <pane xSplit="6" ySplit="7" topLeftCell="G16" activePane="bottomRight" state="frozen"/>
      <selection pane="bottomRight" activeCell="M28" sqref="M28"/>
      <pageMargins left="0.7" right="0.7" top="0.75" bottom="0.75" header="0.3" footer="0.3"/>
      <pageSetup paperSize="9" orientation="portrait" r:id="rId9"/>
    </customSheetView>
    <customSheetView guid="{AB9978E4-895D-4050-8F07-2484E22632D1}" scale="80">
      <pane xSplit="6" ySplit="7" topLeftCell="G16" activePane="bottomRight" state="frozen"/>
      <selection pane="bottomRight" activeCell="M28" sqref="M28"/>
      <pageMargins left="0.7" right="0.7" top="0.75" bottom="0.75" header="0.3" footer="0.3"/>
      <pageSetup paperSize="9" orientation="portrait" r:id="rId10"/>
    </customSheetView>
    <customSheetView guid="{519948E4-0B24-465F-9D9E-44BE50D1D647}" scale="80">
      <pane xSplit="6" ySplit="7" topLeftCell="G16" activePane="bottomRight" state="frozen"/>
      <selection pane="bottomRight" activeCell="M28" sqref="M28"/>
      <pageMargins left="0.7" right="0.7" top="0.75" bottom="0.75" header="0.3" footer="0.3"/>
      <pageSetup paperSize="9" orientation="portrait" r:id="rId11"/>
    </customSheetView>
    <customSheetView guid="{C7DC638A-7F60-46C9-A1FB-9ADEAE87F332}" scale="80">
      <pane xSplit="6" ySplit="7" topLeftCell="G16" activePane="bottomRight" state="frozen"/>
      <selection pane="bottomRight" activeCell="M28" sqref="M28"/>
      <pageMargins left="0.7" right="0.7" top="0.75" bottom="0.75" header="0.3" footer="0.3"/>
      <pageSetup paperSize="9" orientation="portrait" r:id="rId12"/>
    </customSheetView>
    <customSheetView guid="{2A5A11D4-90C6-4A3E-8165-7D7BD634B22F}" scale="80">
      <pane xSplit="6" ySplit="7" topLeftCell="L8" activePane="bottomRight" state="frozen"/>
      <selection pane="bottomRight" activeCell="AH48" sqref="AH48:AH49"/>
      <pageMargins left="0.7" right="0.7" top="0.75" bottom="0.75" header="0.3" footer="0.3"/>
      <pageSetup paperSize="9" orientation="portrait" r:id="rId13"/>
    </customSheetView>
    <customSheetView guid="{562453CE-35F5-40A3-AD14-6399D1197C99}" scale="80">
      <pane xSplit="6" ySplit="7" topLeftCell="G16" activePane="bottomRight" state="frozen"/>
      <selection pane="bottomRight" activeCell="M28" sqref="M28"/>
      <pageMargins left="0.7" right="0.7" top="0.75" bottom="0.75" header="0.3" footer="0.3"/>
      <pageSetup paperSize="9" orientation="portrait" r:id="rId14"/>
    </customSheetView>
    <customSheetView guid="{B6B60ED6-A6CC-4DA7-A8CA-5E6DB52D5A87}" scale="80">
      <pane xSplit="6" ySplit="7" topLeftCell="G16" activePane="bottomRight" state="frozen"/>
      <selection pane="bottomRight" activeCell="M28" sqref="M28"/>
      <pageMargins left="0.7" right="0.7" top="0.75" bottom="0.75" header="0.3" footer="0.3"/>
      <pageSetup paperSize="9" orientation="portrait" r:id="rId15"/>
    </customSheetView>
    <customSheetView guid="{133BB3F8-8DD4-4AEF-8CD6-A5FB14681329}" scale="80">
      <pane xSplit="6" ySplit="7" topLeftCell="G16" activePane="bottomRight" state="frozen"/>
      <selection pane="bottomRight" activeCell="M28" sqref="M28"/>
      <pageMargins left="0.7" right="0.7" top="0.75" bottom="0.75" header="0.3" footer="0.3"/>
      <pageSetup paperSize="9" orientation="portrait" r:id="rId16"/>
    </customSheetView>
    <customSheetView guid="{5DF2C78B-5EE4-439D-8D72-8D3A913B65F9}" scale="80">
      <pane xSplit="6" ySplit="7" topLeftCell="G16" activePane="bottomRight" state="frozen"/>
      <selection pane="bottomRight" activeCell="M28" sqref="M28"/>
      <pageMargins left="0.7" right="0.7" top="0.75" bottom="0.75" header="0.3" footer="0.3"/>
      <pageSetup paperSize="9" orientation="portrait" r:id="rId17"/>
    </customSheetView>
    <customSheetView guid="{60A1F930-4BEC-460A-8E14-01E47F6DD055}" scale="80">
      <pane xSplit="6" ySplit="7" topLeftCell="G16" activePane="bottomRight" state="frozen"/>
      <selection pane="bottomRight" activeCell="M28" sqref="M28"/>
      <pageMargins left="0.7" right="0.7" top="0.75" bottom="0.75" header="0.3" footer="0.3"/>
      <pageSetup paperSize="9" orientation="portrait" r:id="rId18"/>
    </customSheetView>
    <customSheetView guid="{7C5A2A36-3D69-43D9-9018-A52C27EC78F9}" scale="80">
      <pane xSplit="6" ySplit="7" topLeftCell="G16" activePane="bottomRight" state="frozen"/>
      <selection pane="bottomRight" activeCell="M28" sqref="M28"/>
      <pageMargins left="0.7" right="0.7" top="0.75" bottom="0.75" header="0.3" footer="0.3"/>
      <pageSetup paperSize="9" orientation="portrait" r:id="rId19"/>
    </customSheetView>
    <customSheetView guid="{C282AA4E-1BB5-4296-9AC6-844C0F88E5FC}" scale="80">
      <pane xSplit="6" ySplit="7" topLeftCell="G16" activePane="bottomRight" state="frozen"/>
      <selection pane="bottomRight" activeCell="M28" sqref="M28"/>
      <pageMargins left="0.7" right="0.7" top="0.75" bottom="0.75" header="0.3" footer="0.3"/>
      <pageSetup paperSize="9" orientation="portrait" r:id="rId20"/>
    </customSheetView>
    <customSheetView guid="{996EC2F0-F6EC-4E63-A83E-34865157BD8D}" scale="80">
      <pane xSplit="6" ySplit="7" topLeftCell="G16" activePane="bottomRight" state="frozen"/>
      <selection pane="bottomRight" activeCell="M28" sqref="M28"/>
      <pageMargins left="0.7" right="0.7" top="0.75" bottom="0.75" header="0.3" footer="0.3"/>
      <pageSetup paperSize="9" orientation="portrait" r:id="rId21"/>
    </customSheetView>
    <customSheetView guid="{AFADB96A-0516-43C1-9F1B-0604F3CAC04A}" scale="70">
      <pane xSplit="6" ySplit="7" topLeftCell="G8" activePane="bottomRight" state="frozen"/>
      <selection pane="bottomRight" activeCell="E50" sqref="E50"/>
      <pageMargins left="0.7" right="0.7" top="0.75" bottom="0.75" header="0.3" footer="0.3"/>
      <pageSetup paperSize="9" orientation="portrait" r:id="rId22"/>
    </customSheetView>
  </customSheetViews>
  <mergeCells count="69">
    <mergeCell ref="AH42:AH43"/>
    <mergeCell ref="AH44:AH45"/>
    <mergeCell ref="AH46:AH47"/>
    <mergeCell ref="AH48:AH49"/>
    <mergeCell ref="AH27:AH29"/>
    <mergeCell ref="AH31:AH33"/>
    <mergeCell ref="AH34:AH35"/>
    <mergeCell ref="AH36:AH38"/>
    <mergeCell ref="AH40:AH41"/>
    <mergeCell ref="AH8:AH11"/>
    <mergeCell ref="AH13:AH16"/>
    <mergeCell ref="AH18:AH20"/>
    <mergeCell ref="AH21:AH23"/>
    <mergeCell ref="AH24:AH26"/>
    <mergeCell ref="T4:U5"/>
    <mergeCell ref="C2:S2"/>
    <mergeCell ref="C3:S3"/>
    <mergeCell ref="A4:A6"/>
    <mergeCell ref="B4:B6"/>
    <mergeCell ref="C4:C6"/>
    <mergeCell ref="D4:D5"/>
    <mergeCell ref="E4:E5"/>
    <mergeCell ref="F4:F5"/>
    <mergeCell ref="G4:G5"/>
    <mergeCell ref="H4:I5"/>
    <mergeCell ref="J4:K5"/>
    <mergeCell ref="L4:M5"/>
    <mergeCell ref="N4:O5"/>
    <mergeCell ref="P4:Q5"/>
    <mergeCell ref="R4:S5"/>
    <mergeCell ref="B24:B26"/>
    <mergeCell ref="B36:B38"/>
    <mergeCell ref="A31:A33"/>
    <mergeCell ref="B31:B33"/>
    <mergeCell ref="AH4:AH6"/>
    <mergeCell ref="A8:A11"/>
    <mergeCell ref="B8:B11"/>
    <mergeCell ref="B12:AG12"/>
    <mergeCell ref="A13:A16"/>
    <mergeCell ref="B13:B16"/>
    <mergeCell ref="V4:W5"/>
    <mergeCell ref="X4:Y5"/>
    <mergeCell ref="Z4:AA5"/>
    <mergeCell ref="AB4:AC5"/>
    <mergeCell ref="AD4:AE5"/>
    <mergeCell ref="AF4:AG5"/>
    <mergeCell ref="A46:A47"/>
    <mergeCell ref="B46:B47"/>
    <mergeCell ref="A48:A49"/>
    <mergeCell ref="B48:B49"/>
    <mergeCell ref="B39:AG39"/>
    <mergeCell ref="A40:A41"/>
    <mergeCell ref="B40:B41"/>
    <mergeCell ref="B17:AG17"/>
    <mergeCell ref="B30:AG30"/>
    <mergeCell ref="A42:A43"/>
    <mergeCell ref="B42:B43"/>
    <mergeCell ref="A44:A45"/>
    <mergeCell ref="B44:B45"/>
    <mergeCell ref="A24:A26"/>
    <mergeCell ref="B27:B29"/>
    <mergeCell ref="A27:A29"/>
    <mergeCell ref="A34:A35"/>
    <mergeCell ref="B34:B35"/>
    <mergeCell ref="A36:A38"/>
    <mergeCell ref="A18:A20"/>
    <mergeCell ref="B18:B20"/>
    <mergeCell ref="A21:A23"/>
    <mergeCell ref="B21:B23"/>
  </mergeCells>
  <pageMargins left="0.7" right="0.7" top="0.75" bottom="0.75" header="0.3" footer="0.3"/>
  <pageSetup paperSize="9" orientation="portrait" r:id="rId2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30"/>
  <sheetViews>
    <sheetView zoomScale="80" zoomScaleNormal="60" workbookViewId="0">
      <pane xSplit="6" ySplit="7" topLeftCell="G21" activePane="bottomRight" state="frozen"/>
      <selection pane="topRight" activeCell="G1" sqref="G1"/>
      <selection pane="bottomLeft" activeCell="A8" sqref="A8"/>
      <selection pane="bottomRight" activeCell="J29" sqref="J29"/>
    </sheetView>
  </sheetViews>
  <sheetFormatPr defaultColWidth="9.140625" defaultRowHeight="15" x14ac:dyDescent="0.25"/>
  <cols>
    <col min="1" max="1" width="6.5703125" style="8" customWidth="1"/>
    <col min="2" max="2" width="46.28515625" style="8" customWidth="1"/>
    <col min="3" max="3" width="18.5703125" style="9" customWidth="1"/>
    <col min="4" max="4" width="18" style="8" customWidth="1"/>
    <col min="5" max="5" width="14.7109375" style="8" customWidth="1"/>
    <col min="6" max="6" width="15" style="8" customWidth="1"/>
    <col min="7" max="7" width="13.85546875" style="8" customWidth="1"/>
    <col min="8" max="8" width="12.140625" style="8" customWidth="1"/>
    <col min="9" max="9" width="10.85546875" style="8" customWidth="1"/>
    <col min="10" max="10" width="16.5703125" style="8" customWidth="1"/>
    <col min="11" max="11" width="13.5703125" style="8" customWidth="1"/>
    <col min="12" max="12" width="13.85546875" style="8" customWidth="1"/>
    <col min="13" max="13" width="13" style="8" customWidth="1"/>
    <col min="14" max="14" width="13.42578125" style="8" customWidth="1"/>
    <col min="15" max="15" width="11.5703125" style="8" customWidth="1"/>
    <col min="16" max="16" width="15.710937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6.140625" style="8" customWidth="1"/>
    <col min="27" max="27" width="11.5703125" style="8" customWidth="1"/>
    <col min="28" max="28" width="14.85546875" style="8" customWidth="1"/>
    <col min="29" max="29" width="13.140625" style="8" customWidth="1"/>
    <col min="30" max="31" width="13.42578125" style="8" customWidth="1"/>
    <col min="32" max="32" width="14" style="8" customWidth="1"/>
    <col min="33" max="33" width="13.5703125" style="8" customWidth="1"/>
    <col min="34" max="34" width="38.5703125" style="8" customWidth="1"/>
    <col min="35" max="35" width="16" style="8" customWidth="1"/>
    <col min="36" max="16384" width="9.140625" style="8"/>
  </cols>
  <sheetData>
    <row r="1" spans="1:35" s="10" customFormat="1" ht="23.25" customHeight="1" x14ac:dyDescent="0.25">
      <c r="C1" s="12"/>
      <c r="D1" s="13"/>
      <c r="E1" s="13"/>
      <c r="F1" s="13"/>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5" s="10" customFormat="1" ht="15.75" x14ac:dyDescent="0.25">
      <c r="A2" s="55"/>
      <c r="B2" s="55"/>
      <c r="C2" s="346" t="s">
        <v>24</v>
      </c>
      <c r="D2" s="346"/>
      <c r="E2" s="346"/>
      <c r="F2" s="346"/>
      <c r="G2" s="346"/>
      <c r="H2" s="346"/>
      <c r="I2" s="346"/>
      <c r="J2" s="346"/>
      <c r="K2" s="346"/>
      <c r="L2" s="346"/>
      <c r="M2" s="346"/>
      <c r="N2" s="346"/>
      <c r="O2" s="346"/>
      <c r="P2" s="346"/>
      <c r="Q2" s="346"/>
      <c r="R2" s="346"/>
      <c r="S2" s="346"/>
      <c r="T2" s="35"/>
      <c r="U2" s="35"/>
      <c r="V2" s="35"/>
      <c r="W2" s="35"/>
      <c r="X2" s="35"/>
      <c r="Y2" s="35"/>
      <c r="Z2" s="35"/>
      <c r="AA2" s="35"/>
      <c r="AB2" s="35"/>
      <c r="AC2" s="35"/>
      <c r="AD2" s="35"/>
      <c r="AE2" s="35"/>
      <c r="AF2" s="35"/>
      <c r="AG2" s="35"/>
      <c r="AH2" s="35"/>
    </row>
    <row r="3" spans="1:35" s="10" customFormat="1" ht="36.75" customHeight="1" x14ac:dyDescent="0.25">
      <c r="A3" s="55"/>
      <c r="B3" s="55"/>
      <c r="C3" s="347" t="s">
        <v>75</v>
      </c>
      <c r="D3" s="347"/>
      <c r="E3" s="347"/>
      <c r="F3" s="347"/>
      <c r="G3" s="347"/>
      <c r="H3" s="347"/>
      <c r="I3" s="347"/>
      <c r="J3" s="347"/>
      <c r="K3" s="347"/>
      <c r="L3" s="347"/>
      <c r="M3" s="347"/>
      <c r="N3" s="347"/>
      <c r="O3" s="347"/>
      <c r="P3" s="347"/>
      <c r="Q3" s="347"/>
      <c r="R3" s="347"/>
      <c r="S3" s="347"/>
      <c r="T3" s="36"/>
      <c r="U3" s="36"/>
      <c r="V3" s="36"/>
      <c r="W3" s="36"/>
      <c r="X3" s="36"/>
      <c r="Y3" s="36"/>
      <c r="Z3" s="36"/>
      <c r="AA3" s="36"/>
      <c r="AB3" s="36"/>
      <c r="AC3" s="36"/>
      <c r="AD3" s="37"/>
      <c r="AE3" s="37"/>
      <c r="AF3" s="37"/>
      <c r="AG3" s="37" t="s">
        <v>0</v>
      </c>
      <c r="AH3" s="37"/>
    </row>
    <row r="4" spans="1:35" s="10" customFormat="1" ht="15" customHeight="1" x14ac:dyDescent="0.25">
      <c r="A4" s="348" t="s">
        <v>26</v>
      </c>
      <c r="B4" s="351" t="s">
        <v>29</v>
      </c>
      <c r="C4" s="351" t="s">
        <v>30</v>
      </c>
      <c r="D4" s="359"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10" customFormat="1" ht="39" customHeight="1" x14ac:dyDescent="0.25">
      <c r="A5" s="349"/>
      <c r="B5" s="352"/>
      <c r="C5" s="352"/>
      <c r="D5" s="360"/>
      <c r="E5" s="360"/>
      <c r="F5" s="360"/>
      <c r="G5" s="360"/>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5" s="10" customFormat="1" ht="64.5" customHeight="1" x14ac:dyDescent="0.25">
      <c r="A6" s="350"/>
      <c r="B6" s="353"/>
      <c r="C6" s="353"/>
      <c r="D6" s="38">
        <v>2025</v>
      </c>
      <c r="E6" s="39">
        <v>45778</v>
      </c>
      <c r="F6" s="39">
        <v>45778</v>
      </c>
      <c r="G6" s="39">
        <v>45778</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32" customFormat="1" ht="15.75" x14ac:dyDescent="0.25">
      <c r="A7" s="40">
        <v>1</v>
      </c>
      <c r="B7" s="40">
        <v>2</v>
      </c>
      <c r="C7" s="40">
        <v>3</v>
      </c>
      <c r="D7" s="40">
        <v>4</v>
      </c>
      <c r="E7" s="40">
        <v>5</v>
      </c>
      <c r="F7" s="40">
        <v>6</v>
      </c>
      <c r="G7" s="40">
        <v>7</v>
      </c>
      <c r="H7" s="40">
        <v>8</v>
      </c>
      <c r="I7" s="40">
        <v>9</v>
      </c>
      <c r="J7" s="40">
        <v>10</v>
      </c>
      <c r="K7" s="40">
        <v>11</v>
      </c>
      <c r="L7" s="40">
        <v>12</v>
      </c>
      <c r="M7" s="40">
        <v>13</v>
      </c>
      <c r="N7" s="40">
        <v>14</v>
      </c>
      <c r="O7" s="40">
        <v>15</v>
      </c>
      <c r="P7" s="40">
        <v>16</v>
      </c>
      <c r="Q7" s="40">
        <v>17</v>
      </c>
      <c r="R7" s="40">
        <v>18</v>
      </c>
      <c r="S7" s="40">
        <v>19</v>
      </c>
      <c r="T7" s="40">
        <v>20</v>
      </c>
      <c r="U7" s="40">
        <v>21</v>
      </c>
      <c r="V7" s="40">
        <v>22</v>
      </c>
      <c r="W7" s="40">
        <v>23</v>
      </c>
      <c r="X7" s="40">
        <v>24</v>
      </c>
      <c r="Y7" s="40">
        <v>25</v>
      </c>
      <c r="Z7" s="40">
        <v>26</v>
      </c>
      <c r="AA7" s="40">
        <v>27</v>
      </c>
      <c r="AB7" s="40">
        <v>28</v>
      </c>
      <c r="AC7" s="40">
        <v>29</v>
      </c>
      <c r="AD7" s="40">
        <v>30</v>
      </c>
      <c r="AE7" s="40">
        <v>31</v>
      </c>
      <c r="AF7" s="40">
        <v>32</v>
      </c>
      <c r="AG7" s="40">
        <v>33</v>
      </c>
      <c r="AH7" s="40">
        <v>34</v>
      </c>
    </row>
    <row r="8" spans="1:35" s="25" customFormat="1" ht="31.5" customHeight="1" x14ac:dyDescent="0.25">
      <c r="A8" s="364"/>
      <c r="B8" s="367" t="s">
        <v>23</v>
      </c>
      <c r="C8" s="69" t="s">
        <v>20</v>
      </c>
      <c r="D8" s="70">
        <f>D9+D10+D11</f>
        <v>803774.08999999985</v>
      </c>
      <c r="E8" s="70">
        <f t="shared" ref="E8:G8" si="0">E9+E10+E11</f>
        <v>128742</v>
      </c>
      <c r="F8" s="70">
        <f t="shared" si="0"/>
        <v>2235.88</v>
      </c>
      <c r="G8" s="70">
        <f t="shared" si="0"/>
        <v>2235.88</v>
      </c>
      <c r="H8" s="70">
        <f>IFERROR(G8/D8*100,0)</f>
        <v>0.27817268904500275</v>
      </c>
      <c r="I8" s="70">
        <f>IFERROR(G8/E8*100,0)</f>
        <v>1.7367137375526247</v>
      </c>
      <c r="J8" s="71">
        <f>J9+J10+J11</f>
        <v>128742</v>
      </c>
      <c r="K8" s="71">
        <f t="shared" ref="K8:AG8" si="1">K9+K10+K11</f>
        <v>0</v>
      </c>
      <c r="L8" s="71">
        <f t="shared" si="1"/>
        <v>0</v>
      </c>
      <c r="M8" s="71">
        <f t="shared" si="1"/>
        <v>0</v>
      </c>
      <c r="N8" s="71">
        <f t="shared" si="1"/>
        <v>2235.88</v>
      </c>
      <c r="O8" s="71">
        <f t="shared" si="1"/>
        <v>2235.88</v>
      </c>
      <c r="P8" s="71">
        <f t="shared" si="1"/>
        <v>0</v>
      </c>
      <c r="Q8" s="71">
        <f t="shared" si="1"/>
        <v>0</v>
      </c>
      <c r="R8" s="71">
        <f t="shared" si="1"/>
        <v>0</v>
      </c>
      <c r="S8" s="71">
        <f t="shared" si="1"/>
        <v>0</v>
      </c>
      <c r="T8" s="71">
        <f t="shared" si="1"/>
        <v>0</v>
      </c>
      <c r="U8" s="71">
        <f t="shared" si="1"/>
        <v>0</v>
      </c>
      <c r="V8" s="71">
        <f t="shared" si="1"/>
        <v>71134.53</v>
      </c>
      <c r="W8" s="71">
        <f t="shared" si="1"/>
        <v>0</v>
      </c>
      <c r="X8" s="71">
        <f t="shared" si="1"/>
        <v>47423.020000000004</v>
      </c>
      <c r="Y8" s="71">
        <f t="shared" si="1"/>
        <v>0</v>
      </c>
      <c r="Z8" s="71">
        <f t="shared" si="1"/>
        <v>47423.020000000004</v>
      </c>
      <c r="AA8" s="71">
        <f t="shared" si="1"/>
        <v>0</v>
      </c>
      <c r="AB8" s="71">
        <f t="shared" si="1"/>
        <v>172888.54</v>
      </c>
      <c r="AC8" s="71">
        <f t="shared" si="1"/>
        <v>0</v>
      </c>
      <c r="AD8" s="71">
        <f t="shared" si="1"/>
        <v>142269.06</v>
      </c>
      <c r="AE8" s="71">
        <f t="shared" si="1"/>
        <v>0</v>
      </c>
      <c r="AF8" s="71">
        <f t="shared" si="1"/>
        <v>191658.04</v>
      </c>
      <c r="AG8" s="71">
        <f t="shared" si="1"/>
        <v>0</v>
      </c>
      <c r="AH8" s="72"/>
    </row>
    <row r="9" spans="1:35" s="26" customFormat="1" ht="48.75" customHeight="1" x14ac:dyDescent="0.25">
      <c r="A9" s="365"/>
      <c r="B9" s="368"/>
      <c r="C9" s="73" t="s">
        <v>52</v>
      </c>
      <c r="D9" s="74">
        <f>J9+L9+N9+P9+R9+T9+V9+X9+Z9+AB9+AD9+AF9</f>
        <v>7660.6</v>
      </c>
      <c r="E9" s="74">
        <f>J9</f>
        <v>7660.6</v>
      </c>
      <c r="F9" s="74">
        <f>G9</f>
        <v>0</v>
      </c>
      <c r="G9" s="74">
        <f>K9+M9+O9+Q9+S9+U9+W9+Y9+AA9+AC9+AE9+AG9</f>
        <v>0</v>
      </c>
      <c r="H9" s="74">
        <f t="shared" ref="H9" si="2">IFERROR(G9/D9*100,0)</f>
        <v>0</v>
      </c>
      <c r="I9" s="74">
        <f t="shared" ref="I9" si="3">IFERROR(G9/E9*100,0)</f>
        <v>0</v>
      </c>
      <c r="J9" s="74">
        <f>J18</f>
        <v>7660.6</v>
      </c>
      <c r="K9" s="74">
        <f t="shared" ref="K9:AG9" si="4">K18</f>
        <v>0</v>
      </c>
      <c r="L9" s="74">
        <f t="shared" si="4"/>
        <v>0</v>
      </c>
      <c r="M9" s="74">
        <f t="shared" si="4"/>
        <v>0</v>
      </c>
      <c r="N9" s="74">
        <f t="shared" si="4"/>
        <v>0</v>
      </c>
      <c r="O9" s="74">
        <f t="shared" si="4"/>
        <v>0</v>
      </c>
      <c r="P9" s="74">
        <f t="shared" si="4"/>
        <v>0</v>
      </c>
      <c r="Q9" s="74">
        <f t="shared" si="4"/>
        <v>0</v>
      </c>
      <c r="R9" s="74">
        <f t="shared" si="4"/>
        <v>0</v>
      </c>
      <c r="S9" s="74">
        <f t="shared" si="4"/>
        <v>0</v>
      </c>
      <c r="T9" s="74">
        <f t="shared" si="4"/>
        <v>0</v>
      </c>
      <c r="U9" s="74">
        <f t="shared" si="4"/>
        <v>0</v>
      </c>
      <c r="V9" s="74">
        <f t="shared" si="4"/>
        <v>0</v>
      </c>
      <c r="W9" s="74">
        <f t="shared" si="4"/>
        <v>0</v>
      </c>
      <c r="X9" s="74">
        <f t="shared" si="4"/>
        <v>0</v>
      </c>
      <c r="Y9" s="74">
        <f t="shared" si="4"/>
        <v>0</v>
      </c>
      <c r="Z9" s="74">
        <f t="shared" si="4"/>
        <v>0</v>
      </c>
      <c r="AA9" s="74">
        <f t="shared" si="4"/>
        <v>0</v>
      </c>
      <c r="AB9" s="74">
        <f t="shared" si="4"/>
        <v>0</v>
      </c>
      <c r="AC9" s="74">
        <f t="shared" si="4"/>
        <v>0</v>
      </c>
      <c r="AD9" s="74">
        <f t="shared" si="4"/>
        <v>0</v>
      </c>
      <c r="AE9" s="74">
        <f t="shared" si="4"/>
        <v>0</v>
      </c>
      <c r="AF9" s="74">
        <f t="shared" si="4"/>
        <v>0</v>
      </c>
      <c r="AG9" s="74">
        <f t="shared" si="4"/>
        <v>0</v>
      </c>
      <c r="AH9" s="75"/>
    </row>
    <row r="10" spans="1:35" s="26" customFormat="1" ht="57.75" customHeight="1" x14ac:dyDescent="0.25">
      <c r="A10" s="365"/>
      <c r="B10" s="368"/>
      <c r="C10" s="73" t="s">
        <v>22</v>
      </c>
      <c r="D10" s="74">
        <f t="shared" ref="D10:D11" si="5">J10+L10+N10+P10+R10+T10+V10+X10+Z10+AB10+AD10+AF10</f>
        <v>621329.19999999995</v>
      </c>
      <c r="E10" s="74">
        <f t="shared" ref="E10:E11" si="6">J10</f>
        <v>96865</v>
      </c>
      <c r="F10" s="74">
        <f t="shared" ref="F10:F11" si="7">G10</f>
        <v>0</v>
      </c>
      <c r="G10" s="74">
        <f t="shared" ref="G10" si="8">K10+M10+O10+Q10+S10+U10+W10+Y10+AA10+AC10+AE10+AG10</f>
        <v>0</v>
      </c>
      <c r="H10" s="74">
        <f>IFERROR(G10/D10*100,0)</f>
        <v>0</v>
      </c>
      <c r="I10" s="74">
        <f>IFERROR(G10/E10*100,0)</f>
        <v>0</v>
      </c>
      <c r="J10" s="74">
        <f t="shared" ref="J10:AG10" si="9">J15+J19+J29</f>
        <v>96865</v>
      </c>
      <c r="K10" s="74">
        <f t="shared" si="9"/>
        <v>0</v>
      </c>
      <c r="L10" s="74">
        <f t="shared" si="9"/>
        <v>0</v>
      </c>
      <c r="M10" s="74">
        <f t="shared" si="9"/>
        <v>0</v>
      </c>
      <c r="N10" s="74">
        <f t="shared" si="9"/>
        <v>0</v>
      </c>
      <c r="O10" s="74">
        <f t="shared" si="9"/>
        <v>0</v>
      </c>
      <c r="P10" s="74">
        <f t="shared" si="9"/>
        <v>0</v>
      </c>
      <c r="Q10" s="74">
        <f t="shared" si="9"/>
        <v>0</v>
      </c>
      <c r="R10" s="74">
        <f t="shared" si="9"/>
        <v>0</v>
      </c>
      <c r="S10" s="74">
        <f t="shared" si="9"/>
        <v>0</v>
      </c>
      <c r="T10" s="74">
        <f t="shared" si="9"/>
        <v>0</v>
      </c>
      <c r="U10" s="74">
        <f t="shared" si="9"/>
        <v>0</v>
      </c>
      <c r="V10" s="74">
        <f t="shared" si="9"/>
        <v>67577.8</v>
      </c>
      <c r="W10" s="74">
        <f t="shared" si="9"/>
        <v>0</v>
      </c>
      <c r="X10" s="74">
        <f t="shared" si="9"/>
        <v>45051.87</v>
      </c>
      <c r="Y10" s="74">
        <f t="shared" si="9"/>
        <v>0</v>
      </c>
      <c r="Z10" s="74">
        <f t="shared" si="9"/>
        <v>45051.87</v>
      </c>
      <c r="AA10" s="74">
        <f t="shared" si="9"/>
        <v>0</v>
      </c>
      <c r="AB10" s="74">
        <f t="shared" si="9"/>
        <v>164049.34</v>
      </c>
      <c r="AC10" s="74">
        <f t="shared" si="9"/>
        <v>0</v>
      </c>
      <c r="AD10" s="74">
        <f t="shared" si="9"/>
        <v>135155.60999999999</v>
      </c>
      <c r="AE10" s="74">
        <f t="shared" si="9"/>
        <v>0</v>
      </c>
      <c r="AF10" s="74">
        <f t="shared" si="9"/>
        <v>67577.710000000006</v>
      </c>
      <c r="AG10" s="74">
        <f t="shared" si="9"/>
        <v>0</v>
      </c>
      <c r="AH10" s="75"/>
    </row>
    <row r="11" spans="1:35" s="26" customFormat="1" ht="41.25" customHeight="1" x14ac:dyDescent="0.25">
      <c r="A11" s="366"/>
      <c r="B11" s="369"/>
      <c r="C11" s="73" t="s">
        <v>21</v>
      </c>
      <c r="D11" s="74">
        <f t="shared" si="5"/>
        <v>174784.28999999998</v>
      </c>
      <c r="E11" s="74">
        <f t="shared" si="6"/>
        <v>24216.399999999998</v>
      </c>
      <c r="F11" s="74">
        <f t="shared" si="7"/>
        <v>2235.88</v>
      </c>
      <c r="G11" s="74">
        <f>K11+M11+O11+Q11+S11+U11+W11+Y11+AA11+AC11+AE11+AG11</f>
        <v>2235.88</v>
      </c>
      <c r="H11" s="74">
        <f>IFERROR(G11/D11*100,0)</f>
        <v>1.2792225205137147</v>
      </c>
      <c r="I11" s="74">
        <f>IFERROR(G11/E11*100,0)</f>
        <v>9.2329165359012908</v>
      </c>
      <c r="J11" s="74">
        <f t="shared" ref="J11:AG11" si="10">J16+J20+J22+J25+J30</f>
        <v>24216.399999999998</v>
      </c>
      <c r="K11" s="74">
        <f t="shared" si="10"/>
        <v>0</v>
      </c>
      <c r="L11" s="74">
        <f t="shared" si="10"/>
        <v>0</v>
      </c>
      <c r="M11" s="74">
        <f t="shared" si="10"/>
        <v>0</v>
      </c>
      <c r="N11" s="74">
        <f t="shared" si="10"/>
        <v>2235.88</v>
      </c>
      <c r="O11" s="74">
        <f t="shared" si="10"/>
        <v>2235.88</v>
      </c>
      <c r="P11" s="74">
        <f t="shared" si="10"/>
        <v>0</v>
      </c>
      <c r="Q11" s="74">
        <f t="shared" si="10"/>
        <v>0</v>
      </c>
      <c r="R11" s="74">
        <f t="shared" si="10"/>
        <v>0</v>
      </c>
      <c r="S11" s="74">
        <f t="shared" si="10"/>
        <v>0</v>
      </c>
      <c r="T11" s="74">
        <f t="shared" si="10"/>
        <v>0</v>
      </c>
      <c r="U11" s="74">
        <f t="shared" si="10"/>
        <v>0</v>
      </c>
      <c r="V11" s="74">
        <f t="shared" si="10"/>
        <v>3556.73</v>
      </c>
      <c r="W11" s="74">
        <f t="shared" si="10"/>
        <v>0</v>
      </c>
      <c r="X11" s="74">
        <f t="shared" si="10"/>
        <v>2371.15</v>
      </c>
      <c r="Y11" s="74">
        <f t="shared" si="10"/>
        <v>0</v>
      </c>
      <c r="Z11" s="74">
        <f t="shared" si="10"/>
        <v>2371.15</v>
      </c>
      <c r="AA11" s="74">
        <f t="shared" si="10"/>
        <v>0</v>
      </c>
      <c r="AB11" s="74">
        <f t="shared" si="10"/>
        <v>8839.2000000000007</v>
      </c>
      <c r="AC11" s="74">
        <f t="shared" si="10"/>
        <v>0</v>
      </c>
      <c r="AD11" s="74">
        <f t="shared" si="10"/>
        <v>7113.45</v>
      </c>
      <c r="AE11" s="74">
        <f t="shared" si="10"/>
        <v>0</v>
      </c>
      <c r="AF11" s="74">
        <f t="shared" si="10"/>
        <v>124080.33</v>
      </c>
      <c r="AG11" s="74">
        <f t="shared" si="10"/>
        <v>0</v>
      </c>
      <c r="AH11" s="75"/>
    </row>
    <row r="12" spans="1:35" s="18" customFormat="1" ht="18.75" customHeight="1" x14ac:dyDescent="0.25">
      <c r="A12" s="68"/>
      <c r="B12" s="370" t="s">
        <v>76</v>
      </c>
      <c r="C12" s="371"/>
      <c r="D12" s="371"/>
      <c r="E12" s="371"/>
      <c r="F12" s="371"/>
      <c r="G12" s="371"/>
      <c r="H12" s="371"/>
      <c r="I12" s="371"/>
      <c r="J12" s="371"/>
      <c r="K12" s="371"/>
      <c r="L12" s="371"/>
      <c r="M12" s="371"/>
      <c r="N12" s="371"/>
      <c r="O12" s="371"/>
      <c r="P12" s="371"/>
      <c r="Q12" s="371"/>
      <c r="R12" s="371"/>
      <c r="S12" s="371"/>
      <c r="T12" s="371"/>
      <c r="U12" s="371"/>
      <c r="V12" s="371"/>
      <c r="W12" s="371"/>
      <c r="X12" s="371"/>
      <c r="Y12" s="371"/>
      <c r="Z12" s="371"/>
      <c r="AA12" s="371"/>
      <c r="AB12" s="371"/>
      <c r="AC12" s="371"/>
      <c r="AD12" s="371"/>
      <c r="AE12" s="371"/>
      <c r="AF12" s="371"/>
      <c r="AG12" s="372"/>
      <c r="AH12" s="46"/>
    </row>
    <row r="13" spans="1:35" s="21" customFormat="1" ht="31.5" customHeight="1" x14ac:dyDescent="0.25">
      <c r="A13" s="373" t="s">
        <v>50</v>
      </c>
      <c r="B13" s="453" t="s">
        <v>79</v>
      </c>
      <c r="C13" s="57" t="s">
        <v>20</v>
      </c>
      <c r="D13" s="58">
        <f>D15+D16+D14</f>
        <v>555118.22</v>
      </c>
      <c r="E13" s="58">
        <f t="shared" ref="E13:AG13" si="11">E15+E16+E14</f>
        <v>2235.88</v>
      </c>
      <c r="F13" s="58">
        <f t="shared" si="11"/>
        <v>2235.88</v>
      </c>
      <c r="G13" s="58">
        <f t="shared" si="11"/>
        <v>2235.88</v>
      </c>
      <c r="H13" s="58">
        <f>IFERROR(G13/D13*100,0)</f>
        <v>0.40277546645829787</v>
      </c>
      <c r="I13" s="58">
        <f>IFERROR(G13/E13*100,0)</f>
        <v>100</v>
      </c>
      <c r="J13" s="58">
        <f t="shared" si="11"/>
        <v>0</v>
      </c>
      <c r="K13" s="58">
        <f t="shared" si="11"/>
        <v>0</v>
      </c>
      <c r="L13" s="58">
        <f t="shared" si="11"/>
        <v>0</v>
      </c>
      <c r="M13" s="58">
        <f t="shared" si="11"/>
        <v>0</v>
      </c>
      <c r="N13" s="58">
        <f t="shared" si="11"/>
        <v>2235.88</v>
      </c>
      <c r="O13" s="58">
        <f t="shared" si="11"/>
        <v>2235.88</v>
      </c>
      <c r="P13" s="58">
        <v>0</v>
      </c>
      <c r="Q13" s="58">
        <f t="shared" si="11"/>
        <v>0</v>
      </c>
      <c r="R13" s="58">
        <f t="shared" si="11"/>
        <v>0</v>
      </c>
      <c r="S13" s="58">
        <f t="shared" si="11"/>
        <v>0</v>
      </c>
      <c r="T13" s="58">
        <f t="shared" si="11"/>
        <v>0</v>
      </c>
      <c r="U13" s="58">
        <f t="shared" si="11"/>
        <v>0</v>
      </c>
      <c r="V13" s="58">
        <f t="shared" si="11"/>
        <v>71134.53</v>
      </c>
      <c r="W13" s="58">
        <f t="shared" si="11"/>
        <v>0</v>
      </c>
      <c r="X13" s="58">
        <f t="shared" si="11"/>
        <v>47423.020000000004</v>
      </c>
      <c r="Y13" s="58">
        <f t="shared" si="11"/>
        <v>0</v>
      </c>
      <c r="Z13" s="58">
        <f t="shared" si="11"/>
        <v>47423.020000000004</v>
      </c>
      <c r="AA13" s="58">
        <f t="shared" si="11"/>
        <v>0</v>
      </c>
      <c r="AB13" s="58">
        <f t="shared" si="11"/>
        <v>172683.54</v>
      </c>
      <c r="AC13" s="58">
        <f t="shared" si="11"/>
        <v>0</v>
      </c>
      <c r="AD13" s="58">
        <f t="shared" si="11"/>
        <v>142269.06</v>
      </c>
      <c r="AE13" s="58">
        <f t="shared" si="11"/>
        <v>0</v>
      </c>
      <c r="AF13" s="58">
        <f t="shared" si="11"/>
        <v>71949.170000000013</v>
      </c>
      <c r="AG13" s="58">
        <f t="shared" si="11"/>
        <v>0</v>
      </c>
      <c r="AH13" s="60"/>
      <c r="AI13" s="23"/>
    </row>
    <row r="14" spans="1:35" s="21" customFormat="1" ht="42.75" hidden="1" customHeight="1" x14ac:dyDescent="0.25">
      <c r="A14" s="374"/>
      <c r="B14" s="454"/>
      <c r="C14" s="61" t="s">
        <v>52</v>
      </c>
      <c r="D14" s="62">
        <f>SUM(J14,L14,N14,P14,R14,T14,V14,X14,Z14,AB14,AD14,AF14)</f>
        <v>0</v>
      </c>
      <c r="E14" s="62">
        <f>J14</f>
        <v>0</v>
      </c>
      <c r="F14" s="62">
        <f>G14</f>
        <v>0</v>
      </c>
      <c r="G14" s="62">
        <f>SUM(K14,M14,O14,Q14,S14,U14,W14,Y14,AA14,AC14,AE14,AG14)</f>
        <v>0</v>
      </c>
      <c r="H14" s="62">
        <f t="shared" ref="H14:H16" si="12">IFERROR(G14/D14*100,0)</f>
        <v>0</v>
      </c>
      <c r="I14" s="62">
        <f t="shared" ref="I14:I15" si="13">IFERROR(G14/E14*100,0)</f>
        <v>0</v>
      </c>
      <c r="J14" s="62">
        <v>0</v>
      </c>
      <c r="K14" s="62">
        <v>0</v>
      </c>
      <c r="L14" s="62">
        <v>0</v>
      </c>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0"/>
      <c r="AI14" s="23"/>
    </row>
    <row r="15" spans="1:35" s="21" customFormat="1" ht="57" customHeight="1" x14ac:dyDescent="0.25">
      <c r="A15" s="374"/>
      <c r="B15" s="454"/>
      <c r="C15" s="61" t="s">
        <v>22</v>
      </c>
      <c r="D15" s="62">
        <f>SUM(J15,L15,N15,P15,R15,T15,V15,X15,Z15,AB15,AD15,AF15)</f>
        <v>524464.19999999995</v>
      </c>
      <c r="E15" s="62">
        <f>J15++L15+N15+P15</f>
        <v>0</v>
      </c>
      <c r="F15" s="62">
        <f>G15</f>
        <v>0</v>
      </c>
      <c r="G15" s="62">
        <f>SUM(K15,M15,O15,Q15,S15,U15,W15,Y15,AA15,AC15,AE15,AG15)</f>
        <v>0</v>
      </c>
      <c r="H15" s="62">
        <f>IFERROR(G15/D15*100,0)</f>
        <v>0</v>
      </c>
      <c r="I15" s="62">
        <f t="shared" si="13"/>
        <v>0</v>
      </c>
      <c r="J15" s="63">
        <v>0</v>
      </c>
      <c r="K15" s="63">
        <v>0</v>
      </c>
      <c r="L15" s="63">
        <v>0</v>
      </c>
      <c r="M15" s="63">
        <v>0</v>
      </c>
      <c r="N15" s="63">
        <v>0</v>
      </c>
      <c r="O15" s="63">
        <v>0</v>
      </c>
      <c r="P15" s="63">
        <v>0</v>
      </c>
      <c r="Q15" s="63">
        <v>0</v>
      </c>
      <c r="R15" s="63">
        <v>0</v>
      </c>
      <c r="S15" s="63">
        <v>0</v>
      </c>
      <c r="T15" s="63">
        <v>0</v>
      </c>
      <c r="U15" s="63">
        <v>0</v>
      </c>
      <c r="V15" s="63">
        <v>67577.8</v>
      </c>
      <c r="W15" s="63">
        <v>0</v>
      </c>
      <c r="X15" s="63">
        <v>45051.87</v>
      </c>
      <c r="Y15" s="63">
        <v>0</v>
      </c>
      <c r="Z15" s="63">
        <v>45051.87</v>
      </c>
      <c r="AA15" s="63">
        <v>0</v>
      </c>
      <c r="AB15" s="63">
        <v>164049.34</v>
      </c>
      <c r="AC15" s="63">
        <v>0</v>
      </c>
      <c r="AD15" s="63">
        <v>135155.60999999999</v>
      </c>
      <c r="AE15" s="63">
        <v>0</v>
      </c>
      <c r="AF15" s="63">
        <v>67577.710000000006</v>
      </c>
      <c r="AG15" s="63">
        <v>0</v>
      </c>
      <c r="AH15" s="60"/>
      <c r="AI15" s="23">
        <f t="shared" ref="AI15:AI23" si="14">E16-G16</f>
        <v>0</v>
      </c>
    </row>
    <row r="16" spans="1:35" s="22" customFormat="1" ht="64.5" customHeight="1" x14ac:dyDescent="0.25">
      <c r="A16" s="375"/>
      <c r="B16" s="455"/>
      <c r="C16" s="61" t="s">
        <v>21</v>
      </c>
      <c r="D16" s="62">
        <f>SUM(J16,L16,N16,P16,R16,T16,V16,X16,Z16,AB16,AD16,AF16)</f>
        <v>30654.02</v>
      </c>
      <c r="E16" s="62">
        <f>J16++L16+N16+P16</f>
        <v>2235.88</v>
      </c>
      <c r="F16" s="62">
        <v>2235.88</v>
      </c>
      <c r="G16" s="62">
        <f>SUM(K16,M16,O16,Q16,S16,U16,W16,Y16,AA16,AC16,AE16,AG16)</f>
        <v>2235.88</v>
      </c>
      <c r="H16" s="62">
        <f t="shared" si="12"/>
        <v>7.2939209930704036</v>
      </c>
      <c r="I16" s="62">
        <f>IFERROR(G16/E16*100,0)</f>
        <v>100</v>
      </c>
      <c r="J16" s="67">
        <v>0</v>
      </c>
      <c r="K16" s="67">
        <v>0</v>
      </c>
      <c r="L16" s="67">
        <v>0</v>
      </c>
      <c r="M16" s="67">
        <v>0</v>
      </c>
      <c r="N16" s="67">
        <v>2235.88</v>
      </c>
      <c r="O16" s="67">
        <v>2235.88</v>
      </c>
      <c r="P16" s="67">
        <v>0</v>
      </c>
      <c r="Q16" s="67">
        <v>0</v>
      </c>
      <c r="R16" s="67">
        <v>0</v>
      </c>
      <c r="S16" s="67">
        <v>0</v>
      </c>
      <c r="T16" s="67">
        <v>0</v>
      </c>
      <c r="U16" s="67">
        <v>0</v>
      </c>
      <c r="V16" s="67">
        <v>3556.73</v>
      </c>
      <c r="W16" s="67">
        <v>0</v>
      </c>
      <c r="X16" s="67">
        <v>2371.15</v>
      </c>
      <c r="Y16" s="67">
        <v>0</v>
      </c>
      <c r="Z16" s="67">
        <v>2371.15</v>
      </c>
      <c r="AA16" s="67">
        <v>0</v>
      </c>
      <c r="AB16" s="67">
        <v>8634.2000000000007</v>
      </c>
      <c r="AC16" s="67">
        <v>0</v>
      </c>
      <c r="AD16" s="67">
        <v>7113.45</v>
      </c>
      <c r="AE16" s="67">
        <v>0</v>
      </c>
      <c r="AF16" s="67">
        <v>4371.46</v>
      </c>
      <c r="AG16" s="67">
        <v>0</v>
      </c>
      <c r="AH16" s="64"/>
      <c r="AI16" s="328">
        <f t="shared" si="14"/>
        <v>34951.800000000003</v>
      </c>
    </row>
    <row r="17" spans="1:35" s="22" customFormat="1" ht="28.5" customHeight="1" x14ac:dyDescent="0.25">
      <c r="A17" s="373" t="s">
        <v>77</v>
      </c>
      <c r="B17" s="453" t="s">
        <v>78</v>
      </c>
      <c r="C17" s="57" t="s">
        <v>20</v>
      </c>
      <c r="D17" s="58">
        <f>D19+D20+D18</f>
        <v>34951.800000000003</v>
      </c>
      <c r="E17" s="58">
        <f t="shared" ref="E17:G17" si="15">E19+E20+E18</f>
        <v>34951.800000000003</v>
      </c>
      <c r="F17" s="58">
        <f t="shared" si="15"/>
        <v>0</v>
      </c>
      <c r="G17" s="58">
        <f t="shared" si="15"/>
        <v>0</v>
      </c>
      <c r="H17" s="58">
        <f t="shared" ref="H17:H20" si="16">IFERROR(G17/D17*100,0)</f>
        <v>0</v>
      </c>
      <c r="I17" s="58">
        <f t="shared" ref="I17:I20" si="17">IFERROR(G17/E17*100,0)</f>
        <v>0</v>
      </c>
      <c r="J17" s="58">
        <f t="shared" ref="J17:AG17" si="18">J19+J20+J18</f>
        <v>34951.800000000003</v>
      </c>
      <c r="K17" s="58">
        <f t="shared" si="18"/>
        <v>0</v>
      </c>
      <c r="L17" s="58">
        <f t="shared" si="18"/>
        <v>0</v>
      </c>
      <c r="M17" s="58">
        <f t="shared" si="18"/>
        <v>0</v>
      </c>
      <c r="N17" s="58">
        <f t="shared" si="18"/>
        <v>0</v>
      </c>
      <c r="O17" s="58">
        <f t="shared" si="18"/>
        <v>0</v>
      </c>
      <c r="P17" s="58">
        <f t="shared" si="18"/>
        <v>0</v>
      </c>
      <c r="Q17" s="58">
        <f t="shared" si="18"/>
        <v>0</v>
      </c>
      <c r="R17" s="58">
        <f t="shared" si="18"/>
        <v>0</v>
      </c>
      <c r="S17" s="58">
        <f t="shared" si="18"/>
        <v>0</v>
      </c>
      <c r="T17" s="58">
        <f t="shared" si="18"/>
        <v>0</v>
      </c>
      <c r="U17" s="58">
        <f t="shared" si="18"/>
        <v>0</v>
      </c>
      <c r="V17" s="58">
        <f t="shared" si="18"/>
        <v>0</v>
      </c>
      <c r="W17" s="58">
        <f t="shared" si="18"/>
        <v>0</v>
      </c>
      <c r="X17" s="58">
        <f t="shared" si="18"/>
        <v>0</v>
      </c>
      <c r="Y17" s="58">
        <f t="shared" si="18"/>
        <v>0</v>
      </c>
      <c r="Z17" s="58">
        <f t="shared" si="18"/>
        <v>0</v>
      </c>
      <c r="AA17" s="58">
        <f t="shared" si="18"/>
        <v>0</v>
      </c>
      <c r="AB17" s="58">
        <f t="shared" si="18"/>
        <v>0</v>
      </c>
      <c r="AC17" s="58">
        <f t="shared" si="18"/>
        <v>0</v>
      </c>
      <c r="AD17" s="58">
        <f t="shared" si="18"/>
        <v>0</v>
      </c>
      <c r="AE17" s="58">
        <f t="shared" si="18"/>
        <v>0</v>
      </c>
      <c r="AF17" s="58">
        <f t="shared" si="18"/>
        <v>0</v>
      </c>
      <c r="AG17" s="58">
        <f t="shared" si="18"/>
        <v>0</v>
      </c>
      <c r="AH17" s="72"/>
      <c r="AI17" s="328">
        <f t="shared" si="14"/>
        <v>7660.6</v>
      </c>
    </row>
    <row r="18" spans="1:35" s="26" customFormat="1" ht="55.5" customHeight="1" x14ac:dyDescent="0.25">
      <c r="A18" s="374"/>
      <c r="B18" s="454"/>
      <c r="C18" s="61" t="s">
        <v>52</v>
      </c>
      <c r="D18" s="62">
        <f>SUM(J18,L18,N18,P18,R18,T18,V18,X18,Z18,AB18,AD18,AF18)</f>
        <v>7660.6</v>
      </c>
      <c r="E18" s="62">
        <f>J18</f>
        <v>7660.6</v>
      </c>
      <c r="F18" s="62">
        <f>G18</f>
        <v>0</v>
      </c>
      <c r="G18" s="62">
        <f>SUM(K18,M18,O18,Q18,S18,U18,W18,Y18,AA18,AC18,AE18,AG18)</f>
        <v>0</v>
      </c>
      <c r="H18" s="62">
        <f t="shared" si="16"/>
        <v>0</v>
      </c>
      <c r="I18" s="62">
        <f t="shared" si="17"/>
        <v>0</v>
      </c>
      <c r="J18" s="62">
        <v>7660.6</v>
      </c>
      <c r="K18" s="62">
        <v>0</v>
      </c>
      <c r="L18" s="62">
        <v>0</v>
      </c>
      <c r="M18" s="62">
        <v>0</v>
      </c>
      <c r="N18" s="62">
        <v>0</v>
      </c>
      <c r="O18" s="62">
        <v>0</v>
      </c>
      <c r="P18" s="62">
        <v>0</v>
      </c>
      <c r="Q18" s="62">
        <v>0</v>
      </c>
      <c r="R18" s="62">
        <v>0</v>
      </c>
      <c r="S18" s="62">
        <v>0</v>
      </c>
      <c r="T18" s="62">
        <v>0</v>
      </c>
      <c r="U18" s="62">
        <v>0</v>
      </c>
      <c r="V18" s="62">
        <v>0</v>
      </c>
      <c r="W18" s="62">
        <v>0</v>
      </c>
      <c r="X18" s="62">
        <v>0</v>
      </c>
      <c r="Y18" s="62">
        <v>0</v>
      </c>
      <c r="Z18" s="62">
        <v>0</v>
      </c>
      <c r="AA18" s="62">
        <v>0</v>
      </c>
      <c r="AB18" s="62">
        <v>0</v>
      </c>
      <c r="AC18" s="62">
        <v>0</v>
      </c>
      <c r="AD18" s="62">
        <v>0</v>
      </c>
      <c r="AE18" s="62">
        <v>0</v>
      </c>
      <c r="AF18" s="62">
        <v>0</v>
      </c>
      <c r="AG18" s="62">
        <v>0</v>
      </c>
      <c r="AH18" s="72"/>
      <c r="AI18" s="329">
        <f t="shared" si="14"/>
        <v>21832.9</v>
      </c>
    </row>
    <row r="19" spans="1:35" s="26" customFormat="1" ht="37.5" customHeight="1" x14ac:dyDescent="0.25">
      <c r="A19" s="374"/>
      <c r="B19" s="454"/>
      <c r="C19" s="61" t="s">
        <v>22</v>
      </c>
      <c r="D19" s="62">
        <f>SUM(J19,L19,N19,P19,R19,T19,V19,X19,Z19,AB19,AD19,AF19)</f>
        <v>21832.9</v>
      </c>
      <c r="E19" s="62">
        <f>J19</f>
        <v>21832.9</v>
      </c>
      <c r="F19" s="62">
        <f>G19</f>
        <v>0</v>
      </c>
      <c r="G19" s="62">
        <f>SUM(K19,M19,O19,Q19,S19,U19,W19,Y19,AA19,AC19,AE19,AG19)</f>
        <v>0</v>
      </c>
      <c r="H19" s="62">
        <f t="shared" si="16"/>
        <v>0</v>
      </c>
      <c r="I19" s="62">
        <f t="shared" si="17"/>
        <v>0</v>
      </c>
      <c r="J19" s="63">
        <v>21832.9</v>
      </c>
      <c r="K19" s="63">
        <v>0</v>
      </c>
      <c r="L19" s="63">
        <v>0</v>
      </c>
      <c r="M19" s="63">
        <v>0</v>
      </c>
      <c r="N19" s="63">
        <v>0</v>
      </c>
      <c r="O19" s="63">
        <v>0</v>
      </c>
      <c r="P19" s="63">
        <v>0</v>
      </c>
      <c r="Q19" s="63">
        <v>0</v>
      </c>
      <c r="R19" s="63">
        <v>0</v>
      </c>
      <c r="S19" s="63">
        <v>0</v>
      </c>
      <c r="T19" s="63">
        <v>0</v>
      </c>
      <c r="U19" s="63">
        <v>0</v>
      </c>
      <c r="V19" s="63">
        <v>0</v>
      </c>
      <c r="W19" s="63">
        <v>0</v>
      </c>
      <c r="X19" s="63">
        <v>0</v>
      </c>
      <c r="Y19" s="63">
        <v>0</v>
      </c>
      <c r="Z19" s="63">
        <v>0</v>
      </c>
      <c r="AA19" s="63">
        <v>0</v>
      </c>
      <c r="AB19" s="63">
        <v>0</v>
      </c>
      <c r="AC19" s="63">
        <v>0</v>
      </c>
      <c r="AD19" s="63">
        <v>0</v>
      </c>
      <c r="AE19" s="63">
        <v>0</v>
      </c>
      <c r="AF19" s="63">
        <v>0</v>
      </c>
      <c r="AG19" s="63">
        <v>0</v>
      </c>
      <c r="AH19" s="72"/>
      <c r="AI19" s="329">
        <f t="shared" si="14"/>
        <v>5458.3</v>
      </c>
    </row>
    <row r="20" spans="1:35" s="26" customFormat="1" ht="37.5" customHeight="1" x14ac:dyDescent="0.25">
      <c r="A20" s="375"/>
      <c r="B20" s="455"/>
      <c r="C20" s="61" t="s">
        <v>21</v>
      </c>
      <c r="D20" s="62">
        <f>SUM(J20,L20,N20,P20,R20,T20,V20,X20,Z20,AB20,AD20,AF20)</f>
        <v>5458.3</v>
      </c>
      <c r="E20" s="62">
        <f>J20</f>
        <v>5458.3</v>
      </c>
      <c r="F20" s="62">
        <f>G20</f>
        <v>0</v>
      </c>
      <c r="G20" s="62">
        <f>SUM(K20,M20,O20,Q20,S20,U20,W20,Y20,AA20,AC20,AE20,AG20)</f>
        <v>0</v>
      </c>
      <c r="H20" s="62">
        <f t="shared" si="16"/>
        <v>0</v>
      </c>
      <c r="I20" s="62">
        <f t="shared" si="17"/>
        <v>0</v>
      </c>
      <c r="J20" s="67">
        <v>5458.3</v>
      </c>
      <c r="K20" s="67">
        <v>0</v>
      </c>
      <c r="L20" s="67">
        <v>0</v>
      </c>
      <c r="M20" s="67">
        <v>0</v>
      </c>
      <c r="N20" s="67">
        <v>0</v>
      </c>
      <c r="O20" s="67">
        <v>0</v>
      </c>
      <c r="P20" s="67">
        <v>0</v>
      </c>
      <c r="Q20" s="67">
        <v>0</v>
      </c>
      <c r="R20" s="67">
        <v>0</v>
      </c>
      <c r="S20" s="67">
        <v>0</v>
      </c>
      <c r="T20" s="67">
        <v>0</v>
      </c>
      <c r="U20" s="67">
        <v>0</v>
      </c>
      <c r="V20" s="67">
        <v>0</v>
      </c>
      <c r="W20" s="67">
        <v>0</v>
      </c>
      <c r="X20" s="67">
        <v>0</v>
      </c>
      <c r="Y20" s="67">
        <v>0</v>
      </c>
      <c r="Z20" s="67">
        <v>0</v>
      </c>
      <c r="AA20" s="67">
        <v>0</v>
      </c>
      <c r="AB20" s="67">
        <v>0</v>
      </c>
      <c r="AC20" s="67">
        <v>0</v>
      </c>
      <c r="AD20" s="67">
        <v>0</v>
      </c>
      <c r="AE20" s="67">
        <v>0</v>
      </c>
      <c r="AF20" s="67">
        <v>0</v>
      </c>
      <c r="AG20" s="67">
        <v>0</v>
      </c>
      <c r="AH20" s="72"/>
      <c r="AI20" s="329">
        <f t="shared" si="14"/>
        <v>0</v>
      </c>
    </row>
    <row r="21" spans="1:35" s="26" customFormat="1" ht="87.75" customHeight="1" x14ac:dyDescent="0.25">
      <c r="A21" s="402" t="s">
        <v>37</v>
      </c>
      <c r="B21" s="453" t="s">
        <v>80</v>
      </c>
      <c r="C21" s="69" t="s">
        <v>20</v>
      </c>
      <c r="D21" s="70">
        <v>119452.97</v>
      </c>
      <c r="E21" s="70">
        <f t="shared" ref="E21" si="19">E22</f>
        <v>0</v>
      </c>
      <c r="F21" s="70">
        <f t="shared" ref="F21" si="20">F22</f>
        <v>0</v>
      </c>
      <c r="G21" s="70">
        <f t="shared" ref="G21" si="21">G22</f>
        <v>0</v>
      </c>
      <c r="H21" s="70">
        <f>IFERROR(G21/D21*100,0)</f>
        <v>0</v>
      </c>
      <c r="I21" s="70">
        <f>IFERROR(G21/E21*100,0)</f>
        <v>0</v>
      </c>
      <c r="J21" s="71">
        <f t="shared" ref="J21:AG21" si="22">SUM(J22:J22)</f>
        <v>0</v>
      </c>
      <c r="K21" s="71">
        <f t="shared" si="22"/>
        <v>0</v>
      </c>
      <c r="L21" s="71">
        <f t="shared" si="22"/>
        <v>0</v>
      </c>
      <c r="M21" s="71">
        <f t="shared" si="22"/>
        <v>0</v>
      </c>
      <c r="N21" s="71">
        <f t="shared" si="22"/>
        <v>0</v>
      </c>
      <c r="O21" s="71">
        <f t="shared" si="22"/>
        <v>0</v>
      </c>
      <c r="P21" s="71">
        <f t="shared" si="22"/>
        <v>0</v>
      </c>
      <c r="Q21" s="71">
        <f t="shared" si="22"/>
        <v>0</v>
      </c>
      <c r="R21" s="71">
        <f t="shared" si="22"/>
        <v>0</v>
      </c>
      <c r="S21" s="71">
        <f t="shared" si="22"/>
        <v>0</v>
      </c>
      <c r="T21" s="71">
        <f t="shared" si="22"/>
        <v>0</v>
      </c>
      <c r="U21" s="71">
        <f t="shared" si="22"/>
        <v>0</v>
      </c>
      <c r="V21" s="71">
        <f t="shared" si="22"/>
        <v>0</v>
      </c>
      <c r="W21" s="71">
        <f t="shared" si="22"/>
        <v>0</v>
      </c>
      <c r="X21" s="71">
        <f t="shared" si="22"/>
        <v>0</v>
      </c>
      <c r="Y21" s="71">
        <f t="shared" si="22"/>
        <v>0</v>
      </c>
      <c r="Z21" s="71">
        <f t="shared" si="22"/>
        <v>0</v>
      </c>
      <c r="AA21" s="71">
        <f t="shared" si="22"/>
        <v>0</v>
      </c>
      <c r="AB21" s="71">
        <f t="shared" si="22"/>
        <v>205</v>
      </c>
      <c r="AC21" s="71">
        <f t="shared" si="22"/>
        <v>0</v>
      </c>
      <c r="AD21" s="71">
        <f t="shared" si="22"/>
        <v>0</v>
      </c>
      <c r="AE21" s="71">
        <f t="shared" si="22"/>
        <v>0</v>
      </c>
      <c r="AF21" s="71">
        <f t="shared" si="22"/>
        <v>119247.97</v>
      </c>
      <c r="AG21" s="71">
        <f t="shared" si="22"/>
        <v>0</v>
      </c>
      <c r="AH21" s="72"/>
      <c r="AI21" s="329">
        <f t="shared" si="14"/>
        <v>0</v>
      </c>
    </row>
    <row r="22" spans="1:35" s="26" customFormat="1" ht="107.25" customHeight="1" x14ac:dyDescent="0.25">
      <c r="A22" s="403"/>
      <c r="B22" s="455"/>
      <c r="C22" s="73" t="s">
        <v>21</v>
      </c>
      <c r="D22" s="74">
        <f>SUM(J22,L22,N22,P22,R22,T22,V22,X22,Z22,AB22,AD22,AF22)</f>
        <v>119452.97</v>
      </c>
      <c r="E22" s="74">
        <f>J22</f>
        <v>0</v>
      </c>
      <c r="F22" s="74">
        <f>G22</f>
        <v>0</v>
      </c>
      <c r="G22" s="74">
        <f>SUM(K22,M22,O22,Q22,S22,U22,W22,Y22,AA22,AC22,AE22,AG22)</f>
        <v>0</v>
      </c>
      <c r="H22" s="74">
        <f>IFERROR(G22/D22*100,0)</f>
        <v>0</v>
      </c>
      <c r="I22" s="74">
        <f>IFERROR(G22/E22*100,0)</f>
        <v>0</v>
      </c>
      <c r="J22" s="67">
        <v>0</v>
      </c>
      <c r="K22" s="67">
        <v>0</v>
      </c>
      <c r="L22" s="67">
        <v>0</v>
      </c>
      <c r="M22" s="67">
        <v>0</v>
      </c>
      <c r="N22" s="67">
        <v>0</v>
      </c>
      <c r="O22" s="67">
        <v>0</v>
      </c>
      <c r="P22" s="67">
        <v>0</v>
      </c>
      <c r="Q22" s="67">
        <v>0</v>
      </c>
      <c r="R22" s="67">
        <v>0</v>
      </c>
      <c r="S22" s="67">
        <v>0</v>
      </c>
      <c r="T22" s="67">
        <v>0</v>
      </c>
      <c r="U22" s="67">
        <v>0</v>
      </c>
      <c r="V22" s="67">
        <v>0</v>
      </c>
      <c r="W22" s="67">
        <v>0</v>
      </c>
      <c r="X22" s="67">
        <v>0</v>
      </c>
      <c r="Y22" s="67">
        <v>0</v>
      </c>
      <c r="Z22" s="67">
        <v>0</v>
      </c>
      <c r="AA22" s="67">
        <v>0</v>
      </c>
      <c r="AB22" s="67">
        <v>205</v>
      </c>
      <c r="AC22" s="67">
        <v>0</v>
      </c>
      <c r="AD22" s="67">
        <v>0</v>
      </c>
      <c r="AE22" s="67">
        <v>0</v>
      </c>
      <c r="AF22" s="67">
        <v>119247.97</v>
      </c>
      <c r="AG22" s="67">
        <v>0</v>
      </c>
      <c r="AH22" s="72"/>
      <c r="AI22" s="329">
        <f t="shared" si="14"/>
        <v>0</v>
      </c>
    </row>
    <row r="23" spans="1:35" s="26" customFormat="1" ht="20.25" customHeight="1" x14ac:dyDescent="0.25">
      <c r="A23" s="90"/>
      <c r="B23" s="456" t="s">
        <v>81</v>
      </c>
      <c r="C23" s="457"/>
      <c r="D23" s="457"/>
      <c r="E23" s="457"/>
      <c r="F23" s="457"/>
      <c r="G23" s="457"/>
      <c r="H23" s="457"/>
      <c r="I23" s="457"/>
      <c r="J23" s="457"/>
      <c r="K23" s="457"/>
      <c r="L23" s="371"/>
      <c r="M23" s="371"/>
      <c r="N23" s="371"/>
      <c r="O23" s="371"/>
      <c r="P23" s="371"/>
      <c r="Q23" s="371"/>
      <c r="R23" s="371"/>
      <c r="S23" s="371"/>
      <c r="T23" s="371"/>
      <c r="U23" s="371"/>
      <c r="V23" s="371"/>
      <c r="W23" s="371"/>
      <c r="X23" s="371"/>
      <c r="Y23" s="371"/>
      <c r="Z23" s="371"/>
      <c r="AA23" s="371"/>
      <c r="AB23" s="371"/>
      <c r="AC23" s="371"/>
      <c r="AD23" s="371"/>
      <c r="AE23" s="371"/>
      <c r="AF23" s="371"/>
      <c r="AG23" s="372"/>
      <c r="AH23" s="72"/>
      <c r="AI23" s="329">
        <f t="shared" si="14"/>
        <v>0</v>
      </c>
    </row>
    <row r="24" spans="1:35" s="26" customFormat="1" ht="70.5" customHeight="1" x14ac:dyDescent="0.25">
      <c r="A24" s="402" t="s">
        <v>38</v>
      </c>
      <c r="B24" s="453" t="s">
        <v>82</v>
      </c>
      <c r="C24" s="69" t="s">
        <v>20</v>
      </c>
      <c r="D24" s="70">
        <f>D25</f>
        <v>460.9</v>
      </c>
      <c r="E24" s="70">
        <f t="shared" ref="E24" si="23">E25</f>
        <v>0</v>
      </c>
      <c r="F24" s="70">
        <f t="shared" ref="F24" si="24">F25</f>
        <v>0</v>
      </c>
      <c r="G24" s="70">
        <f t="shared" ref="G24" si="25">G25</f>
        <v>0</v>
      </c>
      <c r="H24" s="70">
        <f>IFERROR(G24/D24*100,0)</f>
        <v>0</v>
      </c>
      <c r="I24" s="70">
        <f>IFERROR(G24/E24*100,0)</f>
        <v>0</v>
      </c>
      <c r="J24" s="71">
        <f t="shared" ref="J24:AG24" si="26">SUM(J25:J25)</f>
        <v>0</v>
      </c>
      <c r="K24" s="71">
        <f t="shared" si="26"/>
        <v>0</v>
      </c>
      <c r="L24" s="71">
        <f t="shared" si="26"/>
        <v>0</v>
      </c>
      <c r="M24" s="71">
        <f t="shared" si="26"/>
        <v>0</v>
      </c>
      <c r="N24" s="71">
        <f t="shared" si="26"/>
        <v>0</v>
      </c>
      <c r="O24" s="71">
        <f t="shared" si="26"/>
        <v>0</v>
      </c>
      <c r="P24" s="71">
        <f t="shared" si="26"/>
        <v>0</v>
      </c>
      <c r="Q24" s="71">
        <f t="shared" si="26"/>
        <v>0</v>
      </c>
      <c r="R24" s="71">
        <f t="shared" si="26"/>
        <v>0</v>
      </c>
      <c r="S24" s="71">
        <f t="shared" si="26"/>
        <v>0</v>
      </c>
      <c r="T24" s="71">
        <f t="shared" si="26"/>
        <v>0</v>
      </c>
      <c r="U24" s="71">
        <f t="shared" si="26"/>
        <v>0</v>
      </c>
      <c r="V24" s="71">
        <f t="shared" si="26"/>
        <v>0</v>
      </c>
      <c r="W24" s="71">
        <f t="shared" si="26"/>
        <v>0</v>
      </c>
      <c r="X24" s="71">
        <f t="shared" si="26"/>
        <v>0</v>
      </c>
      <c r="Y24" s="71">
        <f t="shared" si="26"/>
        <v>0</v>
      </c>
      <c r="Z24" s="71">
        <f t="shared" si="26"/>
        <v>0</v>
      </c>
      <c r="AA24" s="71">
        <f t="shared" si="26"/>
        <v>0</v>
      </c>
      <c r="AB24" s="71">
        <f t="shared" si="26"/>
        <v>0</v>
      </c>
      <c r="AC24" s="71">
        <f t="shared" si="26"/>
        <v>0</v>
      </c>
      <c r="AD24" s="71">
        <f t="shared" si="26"/>
        <v>0</v>
      </c>
      <c r="AE24" s="71">
        <f t="shared" si="26"/>
        <v>0</v>
      </c>
      <c r="AF24" s="71">
        <f t="shared" si="26"/>
        <v>460.9</v>
      </c>
      <c r="AG24" s="71">
        <f t="shared" si="26"/>
        <v>0</v>
      </c>
      <c r="AH24" s="72"/>
      <c r="AI24" s="24"/>
    </row>
    <row r="25" spans="1:35" s="26" customFormat="1" ht="165.75" customHeight="1" x14ac:dyDescent="0.25">
      <c r="A25" s="403"/>
      <c r="B25" s="455"/>
      <c r="C25" s="73" t="s">
        <v>21</v>
      </c>
      <c r="D25" s="74">
        <f>SUM(J25,L25,N25,P25,R25,T25,V25,X25,Z25,AB25,AD25,AF25)</f>
        <v>460.9</v>
      </c>
      <c r="E25" s="74">
        <f>J25</f>
        <v>0</v>
      </c>
      <c r="F25" s="74">
        <f>G25</f>
        <v>0</v>
      </c>
      <c r="G25" s="74">
        <f>SUM(K25,M25,O25,Q25,S25,U25,W25,Y25,AA25,AC25,AE25,AG25)</f>
        <v>0</v>
      </c>
      <c r="H25" s="74">
        <f>IFERROR(G25/D25*100,0)</f>
        <v>0</v>
      </c>
      <c r="I25" s="74">
        <f>IFERROR(G25/E25*100,0)</f>
        <v>0</v>
      </c>
      <c r="J25" s="67">
        <v>0</v>
      </c>
      <c r="K25" s="67">
        <v>0</v>
      </c>
      <c r="L25" s="67">
        <v>0</v>
      </c>
      <c r="M25" s="67">
        <v>0</v>
      </c>
      <c r="N25" s="67">
        <v>0</v>
      </c>
      <c r="O25" s="67">
        <v>0</v>
      </c>
      <c r="P25" s="67">
        <v>0</v>
      </c>
      <c r="Q25" s="67">
        <v>0</v>
      </c>
      <c r="R25" s="67">
        <v>0</v>
      </c>
      <c r="S25" s="67">
        <v>0</v>
      </c>
      <c r="T25" s="67">
        <v>0</v>
      </c>
      <c r="U25" s="67">
        <v>0</v>
      </c>
      <c r="V25" s="67">
        <v>0</v>
      </c>
      <c r="W25" s="67">
        <v>0</v>
      </c>
      <c r="X25" s="67">
        <v>0</v>
      </c>
      <c r="Y25" s="67">
        <v>0</v>
      </c>
      <c r="Z25" s="67">
        <v>0</v>
      </c>
      <c r="AA25" s="67">
        <v>0</v>
      </c>
      <c r="AB25" s="67">
        <v>0</v>
      </c>
      <c r="AC25" s="67">
        <v>0</v>
      </c>
      <c r="AD25" s="67">
        <v>0</v>
      </c>
      <c r="AE25" s="67">
        <v>0</v>
      </c>
      <c r="AF25" s="67">
        <v>460.9</v>
      </c>
      <c r="AG25" s="67">
        <v>0</v>
      </c>
      <c r="AH25" s="72"/>
      <c r="AI25" s="24"/>
    </row>
    <row r="26" spans="1:35" ht="15.75" x14ac:dyDescent="0.25">
      <c r="A26" s="91"/>
      <c r="B26" s="370" t="s">
        <v>83</v>
      </c>
      <c r="C26" s="371"/>
      <c r="D26" s="371"/>
      <c r="E26" s="371"/>
      <c r="F26" s="371"/>
      <c r="G26" s="371"/>
      <c r="H26" s="371"/>
      <c r="I26" s="371"/>
      <c r="J26" s="371"/>
      <c r="K26" s="371"/>
      <c r="L26" s="371"/>
      <c r="M26" s="371"/>
      <c r="N26" s="371"/>
      <c r="O26" s="371"/>
      <c r="P26" s="371"/>
      <c r="Q26" s="371"/>
      <c r="R26" s="371"/>
      <c r="S26" s="371"/>
      <c r="T26" s="371"/>
      <c r="U26" s="371"/>
      <c r="V26" s="371"/>
      <c r="W26" s="371"/>
      <c r="X26" s="371"/>
      <c r="Y26" s="371"/>
      <c r="Z26" s="371"/>
      <c r="AA26" s="371"/>
      <c r="AB26" s="371"/>
      <c r="AC26" s="371"/>
      <c r="AD26" s="371"/>
      <c r="AE26" s="371"/>
      <c r="AF26" s="371"/>
      <c r="AG26" s="372"/>
      <c r="AH26" s="92"/>
    </row>
    <row r="27" spans="1:35" s="21" customFormat="1" ht="31.5" customHeight="1" x14ac:dyDescent="0.25">
      <c r="A27" s="373" t="s">
        <v>63</v>
      </c>
      <c r="B27" s="361" t="s">
        <v>84</v>
      </c>
      <c r="C27" s="57" t="s">
        <v>20</v>
      </c>
      <c r="D27" s="58">
        <f>D29+D30+D28</f>
        <v>93790.200000000012</v>
      </c>
      <c r="E27" s="58">
        <f t="shared" ref="E27:G27" si="27">E29+E30+E28</f>
        <v>93790.200000000012</v>
      </c>
      <c r="F27" s="58">
        <f t="shared" si="27"/>
        <v>0</v>
      </c>
      <c r="G27" s="58">
        <f t="shared" si="27"/>
        <v>0</v>
      </c>
      <c r="H27" s="58">
        <f t="shared" ref="H27:H30" si="28">IFERROR(G27/D27*100,0)</f>
        <v>0</v>
      </c>
      <c r="I27" s="58">
        <f t="shared" ref="I27:I30" si="29">IFERROR(G27/E27*100,0)</f>
        <v>0</v>
      </c>
      <c r="J27" s="58">
        <f t="shared" ref="J27:AG27" si="30">J29+J30+J28</f>
        <v>93790.200000000012</v>
      </c>
      <c r="K27" s="58">
        <f t="shared" si="30"/>
        <v>0</v>
      </c>
      <c r="L27" s="58">
        <f t="shared" si="30"/>
        <v>0</v>
      </c>
      <c r="M27" s="58">
        <f t="shared" si="30"/>
        <v>0</v>
      </c>
      <c r="N27" s="58">
        <f t="shared" si="30"/>
        <v>0</v>
      </c>
      <c r="O27" s="58">
        <f t="shared" si="30"/>
        <v>0</v>
      </c>
      <c r="P27" s="58">
        <f t="shared" si="30"/>
        <v>0</v>
      </c>
      <c r="Q27" s="58">
        <f t="shared" si="30"/>
        <v>0</v>
      </c>
      <c r="R27" s="58">
        <f t="shared" si="30"/>
        <v>0</v>
      </c>
      <c r="S27" s="58">
        <f t="shared" si="30"/>
        <v>0</v>
      </c>
      <c r="T27" s="58">
        <f t="shared" si="30"/>
        <v>0</v>
      </c>
      <c r="U27" s="58">
        <f t="shared" si="30"/>
        <v>0</v>
      </c>
      <c r="V27" s="58">
        <f t="shared" si="30"/>
        <v>0</v>
      </c>
      <c r="W27" s="58">
        <f t="shared" si="30"/>
        <v>0</v>
      </c>
      <c r="X27" s="58">
        <f t="shared" si="30"/>
        <v>0</v>
      </c>
      <c r="Y27" s="58">
        <f t="shared" si="30"/>
        <v>0</v>
      </c>
      <c r="Z27" s="58">
        <f t="shared" si="30"/>
        <v>0</v>
      </c>
      <c r="AA27" s="58">
        <f t="shared" si="30"/>
        <v>0</v>
      </c>
      <c r="AB27" s="58">
        <f t="shared" si="30"/>
        <v>0</v>
      </c>
      <c r="AC27" s="58">
        <f t="shared" si="30"/>
        <v>0</v>
      </c>
      <c r="AD27" s="58">
        <f t="shared" si="30"/>
        <v>0</v>
      </c>
      <c r="AE27" s="58">
        <f t="shared" si="30"/>
        <v>0</v>
      </c>
      <c r="AF27" s="58">
        <f t="shared" si="30"/>
        <v>0</v>
      </c>
      <c r="AG27" s="58">
        <f t="shared" si="30"/>
        <v>0</v>
      </c>
      <c r="AH27" s="60"/>
      <c r="AI27" s="23"/>
    </row>
    <row r="28" spans="1:35" s="21" customFormat="1" ht="42.75" hidden="1" customHeight="1" x14ac:dyDescent="0.25">
      <c r="A28" s="374"/>
      <c r="B28" s="362"/>
      <c r="C28" s="61" t="s">
        <v>52</v>
      </c>
      <c r="D28" s="62">
        <f>SUM(J28,L28,N28,P28,R28,T28,V28,X28,Z28,AB28,AD28,AF28)</f>
        <v>0</v>
      </c>
      <c r="E28" s="62">
        <f>J28</f>
        <v>0</v>
      </c>
      <c r="F28" s="62">
        <f>G28</f>
        <v>0</v>
      </c>
      <c r="G28" s="62">
        <f>SUM(K28,M28,O28,Q28,S28,U28,W28,Y28,AA28,AC28,AE28,AG28)</f>
        <v>0</v>
      </c>
      <c r="H28" s="62">
        <f t="shared" si="28"/>
        <v>0</v>
      </c>
      <c r="I28" s="62">
        <f t="shared" si="29"/>
        <v>0</v>
      </c>
      <c r="J28" s="62">
        <v>0</v>
      </c>
      <c r="K28" s="62">
        <v>0</v>
      </c>
      <c r="L28" s="62">
        <v>0</v>
      </c>
      <c r="M28" s="62">
        <v>0</v>
      </c>
      <c r="N28" s="62">
        <v>0</v>
      </c>
      <c r="O28" s="62">
        <v>0</v>
      </c>
      <c r="P28" s="62">
        <v>0</v>
      </c>
      <c r="Q28" s="62">
        <v>0</v>
      </c>
      <c r="R28" s="62">
        <v>0</v>
      </c>
      <c r="S28" s="62">
        <v>0</v>
      </c>
      <c r="T28" s="62">
        <v>0</v>
      </c>
      <c r="U28" s="62">
        <v>0</v>
      </c>
      <c r="V28" s="62">
        <v>0</v>
      </c>
      <c r="W28" s="62">
        <v>0</v>
      </c>
      <c r="X28" s="62">
        <v>0</v>
      </c>
      <c r="Y28" s="62">
        <v>0</v>
      </c>
      <c r="Z28" s="62">
        <v>0</v>
      </c>
      <c r="AA28" s="62">
        <v>0</v>
      </c>
      <c r="AB28" s="62">
        <v>0</v>
      </c>
      <c r="AC28" s="62">
        <v>0</v>
      </c>
      <c r="AD28" s="62">
        <v>0</v>
      </c>
      <c r="AE28" s="62">
        <v>0</v>
      </c>
      <c r="AF28" s="62">
        <v>0</v>
      </c>
      <c r="AG28" s="62">
        <v>0</v>
      </c>
      <c r="AH28" s="60"/>
      <c r="AI28" s="23"/>
    </row>
    <row r="29" spans="1:35" s="21" customFormat="1" ht="57" customHeight="1" x14ac:dyDescent="0.25">
      <c r="A29" s="374"/>
      <c r="B29" s="362"/>
      <c r="C29" s="61" t="s">
        <v>22</v>
      </c>
      <c r="D29" s="62">
        <f>SUM(J29,L29,N29,P29,R29,T29,V29,X29,Z29,AB29,AD29,AF29)</f>
        <v>75032.100000000006</v>
      </c>
      <c r="E29" s="62">
        <f>J29</f>
        <v>75032.100000000006</v>
      </c>
      <c r="F29" s="62">
        <f>G29</f>
        <v>0</v>
      </c>
      <c r="G29" s="62">
        <f>SUM(K29,M29,O29,Q29,S29,U29,W29,Y29,AA29,AC29,AE29,AG29)</f>
        <v>0</v>
      </c>
      <c r="H29" s="62">
        <f t="shared" si="28"/>
        <v>0</v>
      </c>
      <c r="I29" s="62">
        <f t="shared" si="29"/>
        <v>0</v>
      </c>
      <c r="J29" s="63">
        <v>75032.100000000006</v>
      </c>
      <c r="K29" s="63">
        <v>0</v>
      </c>
      <c r="L29" s="63">
        <v>0</v>
      </c>
      <c r="M29" s="63">
        <v>0</v>
      </c>
      <c r="N29" s="63">
        <v>0</v>
      </c>
      <c r="O29" s="63">
        <v>0</v>
      </c>
      <c r="P29" s="63">
        <v>0</v>
      </c>
      <c r="Q29" s="63">
        <v>0</v>
      </c>
      <c r="R29" s="63">
        <v>0</v>
      </c>
      <c r="S29" s="63">
        <v>0</v>
      </c>
      <c r="T29" s="63">
        <v>0</v>
      </c>
      <c r="U29" s="63">
        <v>0</v>
      </c>
      <c r="V29" s="63">
        <v>0</v>
      </c>
      <c r="W29" s="63">
        <v>0</v>
      </c>
      <c r="X29" s="63">
        <v>0</v>
      </c>
      <c r="Y29" s="63">
        <v>0</v>
      </c>
      <c r="Z29" s="63">
        <v>0</v>
      </c>
      <c r="AA29" s="63">
        <v>0</v>
      </c>
      <c r="AB29" s="63">
        <v>0</v>
      </c>
      <c r="AC29" s="63">
        <v>0</v>
      </c>
      <c r="AD29" s="63">
        <v>0</v>
      </c>
      <c r="AE29" s="63">
        <v>0</v>
      </c>
      <c r="AF29" s="63">
        <v>0</v>
      </c>
      <c r="AG29" s="63">
        <v>0</v>
      </c>
      <c r="AH29" s="60"/>
      <c r="AI29" s="23"/>
    </row>
    <row r="30" spans="1:35" s="22" customFormat="1" ht="108" customHeight="1" x14ac:dyDescent="0.25">
      <c r="A30" s="375"/>
      <c r="B30" s="363"/>
      <c r="C30" s="61" t="s">
        <v>21</v>
      </c>
      <c r="D30" s="62">
        <f>SUM(J30,L30,N30,P30,R30,T30,V30,X30,Z30,AB30,AD30,AF30)</f>
        <v>18758.099999999999</v>
      </c>
      <c r="E30" s="62">
        <f>J30</f>
        <v>18758.099999999999</v>
      </c>
      <c r="F30" s="62">
        <f>G30</f>
        <v>0</v>
      </c>
      <c r="G30" s="62">
        <f>SUM(K30,M30,O30,Q30,S30,U30,W30,Y30,AA30,AC30,AE30,AG30)</f>
        <v>0</v>
      </c>
      <c r="H30" s="62">
        <f t="shared" si="28"/>
        <v>0</v>
      </c>
      <c r="I30" s="62">
        <f t="shared" si="29"/>
        <v>0</v>
      </c>
      <c r="J30" s="67">
        <v>18758.099999999999</v>
      </c>
      <c r="K30" s="67">
        <v>0</v>
      </c>
      <c r="L30" s="67">
        <v>0</v>
      </c>
      <c r="M30" s="67">
        <v>0</v>
      </c>
      <c r="N30" s="67">
        <v>0</v>
      </c>
      <c r="O30" s="67">
        <v>0</v>
      </c>
      <c r="P30" s="67">
        <v>0</v>
      </c>
      <c r="Q30" s="67">
        <v>0</v>
      </c>
      <c r="R30" s="67">
        <v>0</v>
      </c>
      <c r="S30" s="67">
        <v>0</v>
      </c>
      <c r="T30" s="67">
        <v>0</v>
      </c>
      <c r="U30" s="67">
        <v>0</v>
      </c>
      <c r="V30" s="67">
        <v>0</v>
      </c>
      <c r="W30" s="67">
        <v>0</v>
      </c>
      <c r="X30" s="67">
        <v>0</v>
      </c>
      <c r="Y30" s="67">
        <v>0</v>
      </c>
      <c r="Z30" s="67">
        <v>0</v>
      </c>
      <c r="AA30" s="67">
        <v>0</v>
      </c>
      <c r="AB30" s="67">
        <v>0</v>
      </c>
      <c r="AC30" s="67">
        <v>0</v>
      </c>
      <c r="AD30" s="67">
        <v>0</v>
      </c>
      <c r="AE30" s="67">
        <v>0</v>
      </c>
      <c r="AF30" s="67">
        <v>0</v>
      </c>
      <c r="AG30" s="67">
        <v>0</v>
      </c>
      <c r="AH30" s="64"/>
      <c r="AI30" s="20"/>
    </row>
  </sheetData>
  <customSheetViews>
    <customSheetView guid="{2940A182-D1A7-43C5-8D6E-965BED4371B0}" scale="80" hiddenRows="1" state="hidden">
      <pane xSplit="6" ySplit="7" topLeftCell="G21" activePane="bottomRight" state="frozen"/>
      <selection pane="bottomRight" activeCell="J29" sqref="J29"/>
      <pageMargins left="0.7" right="0.7" top="0.75" bottom="0.75" header="0.3" footer="0.3"/>
      <pageSetup paperSize="9" orientation="portrait" r:id="rId1"/>
    </customSheetView>
    <customSheetView guid="{BBF6B43F-E0FC-43DF-B91C-674F6AB4B556}" scale="80" hiddenRows="1">
      <pane xSplit="6" ySplit="7" topLeftCell="G21" activePane="bottomRight" state="frozen"/>
      <selection pane="bottomRight" activeCell="J29" sqref="J29"/>
      <pageMargins left="0.7" right="0.7" top="0.75" bottom="0.75" header="0.3" footer="0.3"/>
      <pageSetup paperSize="9" orientation="portrait" r:id="rId2"/>
    </customSheetView>
    <customSheetView guid="{30B635D9-57DB-47D5-8A0F-4B30DD769960}" scale="80" hiddenRows="1">
      <pane xSplit="6" ySplit="7" topLeftCell="V8" activePane="bottomRight" state="frozen"/>
      <selection pane="bottomRight" activeCell="D16" sqref="D16"/>
      <pageMargins left="0.7" right="0.7" top="0.75" bottom="0.75" header="0.3" footer="0.3"/>
      <pageSetup paperSize="9" orientation="portrait" r:id="rId3"/>
    </customSheetView>
    <customSheetView guid="{DAEDC989-02E7-4319-8354-59410ACF3F1F}" scale="60" hiddenRows="1">
      <pane xSplit="6" ySplit="7" topLeftCell="M15" activePane="bottomRight" state="frozen"/>
      <selection pane="bottomRight" activeCell="B21" sqref="B21:B22"/>
      <pageMargins left="0.7" right="0.7" top="0.75" bottom="0.75" header="0.3" footer="0.3"/>
      <pageSetup paperSize="9" orientation="portrait" r:id="rId4"/>
    </customSheetView>
    <customSheetView guid="{21E1D423-7B38-4272-8354-09B4DB62C9EB}" scale="80" hiddenRows="1">
      <pane xSplit="6" ySplit="7" topLeftCell="G21" activePane="bottomRight" state="frozen"/>
      <selection pane="bottomRight" activeCell="J29" sqref="J29"/>
      <pageMargins left="0.7" right="0.7" top="0.75" bottom="0.75" header="0.3" footer="0.3"/>
      <pageSetup paperSize="9" orientation="portrait" r:id="rId5"/>
    </customSheetView>
    <customSheetView guid="{EA46B61D-849C-4795-A4FF-F8F1740022EB}" scale="80" hiddenRows="1">
      <pane xSplit="6" ySplit="7" topLeftCell="G21" activePane="bottomRight" state="frozen"/>
      <selection pane="bottomRight" activeCell="J29" sqref="J29"/>
      <pageMargins left="0.7" right="0.7" top="0.75" bottom="0.75" header="0.3" footer="0.3"/>
      <pageSetup paperSize="9" orientation="portrait" r:id="rId6"/>
    </customSheetView>
    <customSheetView guid="{A0E2FBF6-E560-4343-8BE6-217DC798135B}" scale="80" hiddenRows="1">
      <pane xSplit="6" ySplit="7" topLeftCell="G21" activePane="bottomRight" state="frozen"/>
      <selection pane="bottomRight" activeCell="J29" sqref="J29"/>
      <pageMargins left="0.7" right="0.7" top="0.75" bottom="0.75" header="0.3" footer="0.3"/>
      <pageSetup paperSize="9" orientation="portrait" r:id="rId7"/>
    </customSheetView>
    <customSheetView guid="{20A05A62-CBE8-4538-BBC3-2AD9D3B8FAC0}" scale="80" hiddenRows="1">
      <pane xSplit="6" ySplit="7" topLeftCell="G21" activePane="bottomRight" state="frozen"/>
      <selection pane="bottomRight" activeCell="J29" sqref="J29"/>
      <pageMargins left="0.7" right="0.7" top="0.75" bottom="0.75" header="0.3" footer="0.3"/>
      <pageSetup paperSize="9" orientation="portrait" r:id="rId8"/>
    </customSheetView>
    <customSheetView guid="{A4AF2100-C59D-4F60-9EAB-56D9103463F7}" scale="80" hiddenRows="1">
      <pane xSplit="6" ySplit="7" topLeftCell="R8" activePane="bottomRight" state="frozen"/>
      <selection pane="bottomRight" activeCell="D15" sqref="D15"/>
      <pageMargins left="0.7" right="0.7" top="0.75" bottom="0.75" header="0.3" footer="0.3"/>
      <pageSetup paperSize="9" orientation="portrait" r:id="rId9"/>
    </customSheetView>
    <customSheetView guid="{AB9978E4-895D-4050-8F07-2484E22632D1}" scale="80" hiddenRows="1">
      <pane xSplit="6" ySplit="7" topLeftCell="G21" activePane="bottomRight" state="frozen"/>
      <selection pane="bottomRight" activeCell="J29" sqref="J29"/>
      <pageMargins left="0.7" right="0.7" top="0.75" bottom="0.75" header="0.3" footer="0.3"/>
      <pageSetup paperSize="9" orientation="portrait" r:id="rId10"/>
    </customSheetView>
    <customSheetView guid="{519948E4-0B24-465F-9D9E-44BE50D1D647}" scale="80" hiddenRows="1">
      <pane xSplit="6" ySplit="7" topLeftCell="G21" activePane="bottomRight" state="frozen"/>
      <selection pane="bottomRight" activeCell="J29" sqref="J29"/>
      <pageMargins left="0.7" right="0.7" top="0.75" bottom="0.75" header="0.3" footer="0.3"/>
      <pageSetup paperSize="9" orientation="portrait" r:id="rId11"/>
    </customSheetView>
    <customSheetView guid="{C7DC638A-7F60-46C9-A1FB-9ADEAE87F332}" scale="80" hiddenRows="1">
      <pane xSplit="6" ySplit="7" topLeftCell="G21" activePane="bottomRight" state="frozen"/>
      <selection pane="bottomRight" activeCell="J29" sqref="J29"/>
      <pageMargins left="0.7" right="0.7" top="0.75" bottom="0.75" header="0.3" footer="0.3"/>
      <pageSetup paperSize="9" orientation="portrait" r:id="rId12"/>
    </customSheetView>
    <customSheetView guid="{2A5A11D4-90C6-4A3E-8165-7D7BD634B22F}" scale="80" hiddenRows="1">
      <pane xSplit="6" ySplit="7" topLeftCell="G21" activePane="bottomRight" state="frozen"/>
      <selection pane="bottomRight" activeCell="J29" sqref="J29"/>
      <pageMargins left="0.7" right="0.7" top="0.75" bottom="0.75" header="0.3" footer="0.3"/>
      <pageSetup paperSize="9" orientation="portrait" r:id="rId13"/>
    </customSheetView>
    <customSheetView guid="{562453CE-35F5-40A3-AD14-6399D1197C99}" scale="80" hiddenRows="1">
      <pane xSplit="6" ySplit="7" topLeftCell="G21" activePane="bottomRight" state="frozen"/>
      <selection pane="bottomRight" activeCell="J29" sqref="J29"/>
      <pageMargins left="0.7" right="0.7" top="0.75" bottom="0.75" header="0.3" footer="0.3"/>
      <pageSetup paperSize="9" orientation="portrait" r:id="rId14"/>
    </customSheetView>
    <customSheetView guid="{B6B60ED6-A6CC-4DA7-A8CA-5E6DB52D5A87}" scale="80" hiddenRows="1">
      <pane xSplit="6" ySplit="7" topLeftCell="G21" activePane="bottomRight" state="frozen"/>
      <selection pane="bottomRight" activeCell="J29" sqref="J29"/>
      <pageMargins left="0.7" right="0.7" top="0.75" bottom="0.75" header="0.3" footer="0.3"/>
      <pageSetup paperSize="9" orientation="portrait" r:id="rId15"/>
    </customSheetView>
    <customSheetView guid="{133BB3F8-8DD4-4AEF-8CD6-A5FB14681329}" scale="80" hiddenRows="1">
      <pane xSplit="6" ySplit="7" topLeftCell="G21" activePane="bottomRight" state="frozen"/>
      <selection pane="bottomRight" activeCell="J29" sqref="J29"/>
      <pageMargins left="0.7" right="0.7" top="0.75" bottom="0.75" header="0.3" footer="0.3"/>
      <pageSetup paperSize="9" orientation="portrait" r:id="rId16"/>
    </customSheetView>
    <customSheetView guid="{5DF2C78B-5EE4-439D-8D72-8D3A913B65F9}" scale="80" hiddenRows="1">
      <pane xSplit="6" ySplit="7" topLeftCell="G21" activePane="bottomRight" state="frozen"/>
      <selection pane="bottomRight" activeCell="J29" sqref="J29"/>
      <pageMargins left="0.7" right="0.7" top="0.75" bottom="0.75" header="0.3" footer="0.3"/>
      <pageSetup paperSize="9" orientation="portrait" r:id="rId17"/>
    </customSheetView>
    <customSheetView guid="{60A1F930-4BEC-460A-8E14-01E47F6DD055}" scale="80" hiddenRows="1">
      <pane xSplit="6" ySplit="7" topLeftCell="G21" activePane="bottomRight" state="frozen"/>
      <selection pane="bottomRight" activeCell="J29" sqref="J29"/>
      <pageMargins left="0.7" right="0.7" top="0.75" bottom="0.75" header="0.3" footer="0.3"/>
      <pageSetup paperSize="9" orientation="portrait" r:id="rId18"/>
    </customSheetView>
    <customSheetView guid="{7C5A2A36-3D69-43D9-9018-A52C27EC78F9}" scale="80" hiddenRows="1">
      <pane xSplit="6" ySplit="7" topLeftCell="G21" activePane="bottomRight" state="frozen"/>
      <selection pane="bottomRight" activeCell="J29" sqref="J29"/>
      <pageMargins left="0.7" right="0.7" top="0.75" bottom="0.75" header="0.3" footer="0.3"/>
      <pageSetup paperSize="9" orientation="portrait" r:id="rId19"/>
    </customSheetView>
    <customSheetView guid="{C282AA4E-1BB5-4296-9AC6-844C0F88E5FC}" scale="80" hiddenRows="1">
      <pane xSplit="6" ySplit="7" topLeftCell="G21" activePane="bottomRight" state="frozen"/>
      <selection pane="bottomRight" activeCell="J29" sqref="J29"/>
      <pageMargins left="0.7" right="0.7" top="0.75" bottom="0.75" header="0.3" footer="0.3"/>
      <pageSetup paperSize="9" orientation="portrait" r:id="rId20"/>
    </customSheetView>
    <customSheetView guid="{996EC2F0-F6EC-4E63-A83E-34865157BD8D}" scale="80" hiddenRows="1">
      <pane xSplit="6" ySplit="7" topLeftCell="G21" activePane="bottomRight" state="frozen"/>
      <selection pane="bottomRight" activeCell="J29" sqref="J29"/>
      <pageMargins left="0.7" right="0.7" top="0.75" bottom="0.75" header="0.3" footer="0.3"/>
      <pageSetup paperSize="9" orientation="portrait" r:id="rId21"/>
    </customSheetView>
    <customSheetView guid="{AFADB96A-0516-43C1-9F1B-0604F3CAC04A}" scale="80" hiddenRows="1">
      <pane xSplit="6" ySplit="7" topLeftCell="G21" activePane="bottomRight" state="frozen"/>
      <selection pane="bottomRight" activeCell="J29" sqref="J29"/>
      <pageMargins left="0.7" right="0.7" top="0.75" bottom="0.75" header="0.3" footer="0.3"/>
      <pageSetup paperSize="9" orientation="portrait" r:id="rId22"/>
    </customSheetView>
  </customSheetViews>
  <mergeCells count="38">
    <mergeCell ref="R4:S5"/>
    <mergeCell ref="T4:U5"/>
    <mergeCell ref="C2:S2"/>
    <mergeCell ref="C3:S3"/>
    <mergeCell ref="A4:A6"/>
    <mergeCell ref="B4:B6"/>
    <mergeCell ref="C4:C6"/>
    <mergeCell ref="D4:D5"/>
    <mergeCell ref="E4:E5"/>
    <mergeCell ref="F4:F5"/>
    <mergeCell ref="G4:G5"/>
    <mergeCell ref="H4:I5"/>
    <mergeCell ref="AH4:AH6"/>
    <mergeCell ref="A8:A11"/>
    <mergeCell ref="B8:B11"/>
    <mergeCell ref="B12:AG12"/>
    <mergeCell ref="A13:A16"/>
    <mergeCell ref="B13:B16"/>
    <mergeCell ref="V4:W5"/>
    <mergeCell ref="X4:Y5"/>
    <mergeCell ref="Z4:AA5"/>
    <mergeCell ref="AB4:AC5"/>
    <mergeCell ref="AD4:AE5"/>
    <mergeCell ref="AF4:AG5"/>
    <mergeCell ref="J4:K5"/>
    <mergeCell ref="L4:M5"/>
    <mergeCell ref="N4:O5"/>
    <mergeCell ref="P4:Q5"/>
    <mergeCell ref="A27:A30"/>
    <mergeCell ref="B27:B30"/>
    <mergeCell ref="A17:A20"/>
    <mergeCell ref="B17:B20"/>
    <mergeCell ref="A21:A22"/>
    <mergeCell ref="B21:B22"/>
    <mergeCell ref="B23:AG23"/>
    <mergeCell ref="A24:A25"/>
    <mergeCell ref="B24:B25"/>
    <mergeCell ref="B26:AG26"/>
  </mergeCells>
  <pageMargins left="0.7" right="0.7" top="0.75" bottom="0.75" header="0.3" footer="0.3"/>
  <pageSetup paperSize="9" orientation="portrait" r:id="rId2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20</vt:i4>
      </vt:variant>
    </vt:vector>
  </HeadingPairs>
  <TitlesOfParts>
    <vt:vector size="20" baseType="lpstr">
      <vt:lpstr>1. РО</vt:lpstr>
      <vt:lpstr>2. СОГХ</vt:lpstr>
      <vt:lpstr>3. ФКГС</vt:lpstr>
      <vt:lpstr>4. КП</vt:lpstr>
      <vt:lpstr>5.РФКиС</vt:lpstr>
      <vt:lpstr>6. СЗН</vt:lpstr>
      <vt:lpstr>7. АПК</vt:lpstr>
      <vt:lpstr>8. РЖС</vt:lpstr>
      <vt:lpstr>9. РЖКК</vt:lpstr>
      <vt:lpstr>10.ПП</vt:lpstr>
      <vt:lpstr>11. БЖД</vt:lpstr>
      <vt:lpstr>12. ЭБ</vt:lpstr>
      <vt:lpstr>13. Экон. разв.</vt:lpstr>
      <vt:lpstr>14. РТС</vt:lpstr>
      <vt:lpstr>15. УМФ</vt:lpstr>
      <vt:lpstr>16. РГО</vt:lpstr>
      <vt:lpstr>17.УМИ</vt:lpstr>
      <vt:lpstr>18. Экстремизм</vt:lpstr>
      <vt:lpstr>19.РМС</vt:lpstr>
      <vt:lpstr>20. МСП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Митина Екатерина Сергеевна</dc:creator>
  <cp:lastModifiedBy>Тихонова Лариса Анатольевна</cp:lastModifiedBy>
  <dcterms:created xsi:type="dcterms:W3CDTF">2025-01-13T06:45:30Z</dcterms:created>
  <dcterms:modified xsi:type="dcterms:W3CDTF">2025-05-19T10:08:53Z</dcterms:modified>
</cp:coreProperties>
</file>